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ff\OneDrive\Documents\websites\msg\"/>
    </mc:Choice>
  </mc:AlternateContent>
  <xr:revisionPtr revIDLastSave="0" documentId="13_ncr:1_{BC3AE485-2003-4FAE-837C-325B39A23C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TAR Input" sheetId="5" r:id="rId1"/>
    <sheet name="ATAR Output" sheetId="6" r:id="rId2"/>
    <sheet name="Graph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0" i="4" l="1"/>
  <c r="T70" i="4"/>
  <c r="U70" i="4"/>
  <c r="V70" i="4"/>
  <c r="W70" i="4"/>
  <c r="S71" i="4"/>
  <c r="T71" i="4"/>
  <c r="U71" i="4"/>
  <c r="V71" i="4"/>
  <c r="W71" i="4"/>
  <c r="R71" i="4"/>
  <c r="R70" i="4"/>
  <c r="S48" i="4"/>
  <c r="T48" i="4"/>
  <c r="U48" i="4"/>
  <c r="V48" i="4"/>
  <c r="W48" i="4"/>
  <c r="S49" i="4"/>
  <c r="T49" i="4"/>
  <c r="U49" i="4"/>
  <c r="V49" i="4"/>
  <c r="W49" i="4"/>
  <c r="R49" i="4"/>
  <c r="R48" i="4"/>
  <c r="T21" i="4"/>
  <c r="U21" i="4"/>
  <c r="V21" i="4"/>
  <c r="W21" i="4"/>
  <c r="T22" i="4"/>
  <c r="U22" i="4"/>
  <c r="V22" i="4"/>
  <c r="W22" i="4"/>
  <c r="S22" i="4"/>
  <c r="S21" i="4"/>
  <c r="Q5" i="4"/>
  <c r="R5" i="4"/>
  <c r="S5" i="4"/>
  <c r="T5" i="4"/>
  <c r="U5" i="4"/>
  <c r="Q6" i="4"/>
  <c r="R6" i="4"/>
  <c r="S6" i="4"/>
  <c r="T6" i="4"/>
  <c r="U6" i="4"/>
  <c r="Q7" i="4"/>
  <c r="R7" i="4"/>
  <c r="S7" i="4"/>
  <c r="T7" i="4"/>
  <c r="U7" i="4"/>
  <c r="R4" i="4"/>
  <c r="S4" i="4"/>
  <c r="T4" i="4"/>
  <c r="U4" i="4"/>
  <c r="Q4" i="4"/>
  <c r="H29" i="6"/>
  <c r="G29" i="6"/>
  <c r="F29" i="6"/>
  <c r="E29" i="6"/>
  <c r="D29" i="6"/>
  <c r="H28" i="6"/>
  <c r="G28" i="6"/>
  <c r="F28" i="6"/>
  <c r="E28" i="6"/>
  <c r="D28" i="6"/>
  <c r="C28" i="6"/>
  <c r="H22" i="6"/>
  <c r="G22" i="6"/>
  <c r="F22" i="6"/>
  <c r="E22" i="6"/>
  <c r="D22" i="6"/>
  <c r="C21" i="6"/>
  <c r="H16" i="6"/>
  <c r="G16" i="6"/>
  <c r="F16" i="6"/>
  <c r="E16" i="6"/>
  <c r="D16" i="6"/>
  <c r="H15" i="6"/>
  <c r="G15" i="6"/>
  <c r="F15" i="6"/>
  <c r="E15" i="6"/>
  <c r="D15" i="6"/>
  <c r="H14" i="6"/>
  <c r="G14" i="6"/>
  <c r="F14" i="6"/>
  <c r="E14" i="6"/>
  <c r="D14" i="6"/>
  <c r="H13" i="6"/>
  <c r="G13" i="6"/>
  <c r="F13" i="6"/>
  <c r="E13" i="6"/>
  <c r="D13" i="6"/>
  <c r="H10" i="6"/>
  <c r="G10" i="6"/>
  <c r="F10" i="6"/>
  <c r="E10" i="6"/>
  <c r="D10" i="6"/>
  <c r="H9" i="6"/>
  <c r="G9" i="6"/>
  <c r="F9" i="6"/>
  <c r="E9" i="6"/>
  <c r="D9" i="6"/>
  <c r="H8" i="6"/>
  <c r="G8" i="6"/>
  <c r="F8" i="6"/>
  <c r="E8" i="6"/>
  <c r="D8" i="6"/>
  <c r="H7" i="6"/>
  <c r="G7" i="6"/>
  <c r="F7" i="6"/>
  <c r="E7" i="6"/>
  <c r="D7" i="6"/>
  <c r="H6" i="6"/>
  <c r="G6" i="6"/>
  <c r="F6" i="6"/>
  <c r="E6" i="6"/>
  <c r="D6" i="6"/>
  <c r="H4" i="6"/>
  <c r="G4" i="6"/>
  <c r="F4" i="6"/>
  <c r="E4" i="6"/>
  <c r="D4" i="6"/>
  <c r="C29" i="6"/>
  <c r="C24" i="6"/>
  <c r="C25" i="6" s="1"/>
  <c r="G18" i="6"/>
  <c r="G24" i="6" s="1"/>
  <c r="D17" i="6"/>
  <c r="H17" i="6"/>
  <c r="G17" i="6"/>
  <c r="F17" i="6"/>
  <c r="H18" i="6"/>
  <c r="H24" i="6" s="1"/>
  <c r="F18" i="6"/>
  <c r="F24" i="6" s="1"/>
  <c r="E18" i="6"/>
  <c r="E24" i="6" s="1"/>
  <c r="D18" i="6"/>
  <c r="D24" i="6" s="1"/>
  <c r="C40" i="5"/>
  <c r="C50" i="5" s="1"/>
  <c r="K38" i="5"/>
  <c r="H32" i="5"/>
  <c r="H31" i="5"/>
  <c r="G31" i="5"/>
  <c r="F31" i="5"/>
  <c r="F32" i="5" s="1"/>
  <c r="E31" i="5"/>
  <c r="E32" i="5" s="1"/>
  <c r="D31" i="5"/>
  <c r="D32" i="5" s="1"/>
  <c r="K20" i="5"/>
  <c r="D18" i="5"/>
  <c r="D19" i="5" s="1"/>
  <c r="D21" i="5" s="1"/>
  <c r="K16" i="5"/>
  <c r="K15" i="5"/>
  <c r="K14" i="5"/>
  <c r="K13" i="5"/>
  <c r="E9" i="5"/>
  <c r="E18" i="5" s="1"/>
  <c r="W47" i="4"/>
  <c r="V47" i="4"/>
  <c r="U47" i="4"/>
  <c r="S47" i="4"/>
  <c r="T47" i="4"/>
  <c r="T20" i="4"/>
  <c r="U20" i="4"/>
  <c r="V20" i="4"/>
  <c r="W20" i="4"/>
  <c r="S20" i="4"/>
  <c r="D25" i="6" l="1"/>
  <c r="E25" i="6"/>
  <c r="F25" i="6" s="1"/>
  <c r="G25" i="6" s="1"/>
  <c r="H25" i="6" s="1"/>
  <c r="E17" i="6"/>
  <c r="C41" i="5"/>
  <c r="D24" i="5"/>
  <c r="D22" i="5"/>
  <c r="C51" i="5"/>
  <c r="E19" i="5"/>
  <c r="E21" i="5" s="1"/>
  <c r="E23" i="5"/>
  <c r="F9" i="5"/>
  <c r="D23" i="5"/>
  <c r="G32" i="5"/>
  <c r="E22" i="5" l="1"/>
  <c r="E24" i="5"/>
  <c r="E25" i="5" s="1"/>
  <c r="F18" i="5"/>
  <c r="G9" i="5"/>
  <c r="D25" i="5"/>
  <c r="F19" i="5" l="1"/>
  <c r="F21" i="5" s="1"/>
  <c r="E34" i="5"/>
  <c r="E47" i="5"/>
  <c r="E48" i="5" s="1"/>
  <c r="E35" i="5"/>
  <c r="E40" i="5" s="1"/>
  <c r="E50" i="5" s="1"/>
  <c r="D34" i="5"/>
  <c r="D47" i="5"/>
  <c r="D48" i="5" s="1"/>
  <c r="D35" i="5"/>
  <c r="G18" i="5"/>
  <c r="H9" i="5"/>
  <c r="H18" i="5" s="1"/>
  <c r="H19" i="5" l="1"/>
  <c r="H23" i="5" s="1"/>
  <c r="G19" i="5"/>
  <c r="G21" i="5" s="1"/>
  <c r="K18" i="5"/>
  <c r="K19" i="5" s="1"/>
  <c r="F22" i="5"/>
  <c r="F24" i="5"/>
  <c r="D40" i="5"/>
  <c r="F23" i="5"/>
  <c r="F25" i="5" l="1"/>
  <c r="G22" i="5"/>
  <c r="G24" i="5"/>
  <c r="H21" i="5"/>
  <c r="F34" i="5"/>
  <c r="F47" i="5"/>
  <c r="F48" i="5" s="1"/>
  <c r="F35" i="5"/>
  <c r="D50" i="5"/>
  <c r="D41" i="5"/>
  <c r="E41" i="5" s="1"/>
  <c r="G23" i="5"/>
  <c r="D51" i="5" l="1"/>
  <c r="F40" i="5"/>
  <c r="F50" i="5" s="1"/>
  <c r="H22" i="5"/>
  <c r="H24" i="5"/>
  <c r="H25" i="5" s="1"/>
  <c r="K21" i="5"/>
  <c r="K22" i="5" s="1"/>
  <c r="G25" i="5"/>
  <c r="H34" i="5" l="1"/>
  <c r="H47" i="5"/>
  <c r="H48" i="5" s="1"/>
  <c r="H35" i="5"/>
  <c r="H40" i="5" s="1"/>
  <c r="F41" i="5"/>
  <c r="G34" i="5"/>
  <c r="K34" i="5" s="1"/>
  <c r="K39" i="5" s="1"/>
  <c r="G47" i="5"/>
  <c r="G48" i="5" s="1"/>
  <c r="G35" i="5"/>
  <c r="K25" i="5"/>
  <c r="D78" i="5"/>
  <c r="E51" i="5"/>
  <c r="E78" i="5" s="1"/>
  <c r="H50" i="5" l="1"/>
  <c r="K40" i="5"/>
  <c r="G40" i="5"/>
  <c r="G50" i="5" s="1"/>
  <c r="K35" i="5"/>
  <c r="K36" i="5" s="1"/>
  <c r="F51" i="5"/>
  <c r="F78" i="5" s="1"/>
  <c r="G51" i="5" l="1"/>
  <c r="G78" i="5" s="1"/>
  <c r="D56" i="5"/>
  <c r="D55" i="5"/>
  <c r="D58" i="5"/>
  <c r="H51" i="5"/>
  <c r="G41" i="5"/>
  <c r="H41" i="5" s="1"/>
  <c r="H78" i="5" l="1"/>
  <c r="K41" i="5" s="1"/>
  <c r="D59" i="5" s="1"/>
  <c r="D57" i="5"/>
</calcChain>
</file>

<file path=xl/sharedStrings.xml><?xml version="1.0" encoding="utf-8"?>
<sst xmlns="http://schemas.openxmlformats.org/spreadsheetml/2006/main" count="131" uniqueCount="85">
  <si>
    <t>Awareness</t>
  </si>
  <si>
    <t>Availability</t>
  </si>
  <si>
    <t>Repeat</t>
  </si>
  <si>
    <t>Yr 1</t>
  </si>
  <si>
    <t>Yr 0</t>
  </si>
  <si>
    <t>Yr 2</t>
  </si>
  <si>
    <t>Yr 3</t>
  </si>
  <si>
    <t>Yr 4</t>
  </si>
  <si>
    <t>Yr 5</t>
  </si>
  <si>
    <t>Trial rate</t>
  </si>
  <si>
    <t>Sales to 'one-off' customers</t>
  </si>
  <si>
    <t>Sales to repeat customers</t>
  </si>
  <si>
    <t>Loyalty rate</t>
  </si>
  <si>
    <t>TOTAL SALES - units</t>
  </si>
  <si>
    <t>Gross margin</t>
  </si>
  <si>
    <t>Promotional Spend</t>
  </si>
  <si>
    <t>Annual Growth Rate</t>
  </si>
  <si>
    <t>New 'Repeat' Customers</t>
  </si>
  <si>
    <t>Avg purchase quantity (yr)</t>
  </si>
  <si>
    <t>Trial Customers</t>
  </si>
  <si>
    <t>GM %</t>
  </si>
  <si>
    <t>% of market trialling</t>
  </si>
  <si>
    <t>REALITY CHECKS</t>
  </si>
  <si>
    <t>Total trial customers</t>
  </si>
  <si>
    <t>Total regular customers</t>
  </si>
  <si>
    <t>Total unit sales</t>
  </si>
  <si>
    <t>Total $ sales</t>
  </si>
  <si>
    <t>Total Gross margin</t>
  </si>
  <si>
    <t>Total promo costs</t>
  </si>
  <si>
    <t>Promo/sales</t>
  </si>
  <si>
    <t>Average</t>
  </si>
  <si>
    <t>Years to payback</t>
  </si>
  <si>
    <t>Net Margin/Year 5</t>
  </si>
  <si>
    <t>Brand Penetration/Yr 5</t>
  </si>
  <si>
    <t>Net Present Value</t>
  </si>
  <si>
    <t>Internal Rate of Return</t>
  </si>
  <si>
    <t>Return on Marketing Investment</t>
  </si>
  <si>
    <t>Overall profit</t>
  </si>
  <si>
    <t>For more information, please visit:</t>
  </si>
  <si>
    <t xml:space="preserve">KEY FINANCIAL METRICS </t>
  </si>
  <si>
    <t>(NPV)</t>
  </si>
  <si>
    <t>(IRR)</t>
  </si>
  <si>
    <t>(ROMI)</t>
  </si>
  <si>
    <t>(In the 5 years)</t>
  </si>
  <si>
    <t>CANNIBALIZATION (if applicable)</t>
  </si>
  <si>
    <t>Cost per unit</t>
  </si>
  <si>
    <t>Gross Margin %</t>
  </si>
  <si>
    <t>Margin per unit</t>
  </si>
  <si>
    <t>ATAR VARIABLES</t>
  </si>
  <si>
    <t>PRICE + VOLUME ESTIMATES</t>
  </si>
  <si>
    <r>
      <t xml:space="preserve">Price per unit, after discounts                                  </t>
    </r>
    <r>
      <rPr>
        <b/>
        <i/>
        <sz val="12"/>
        <color theme="1"/>
        <rFont val="Calibri"/>
        <family val="2"/>
        <scheme val="minor"/>
      </rPr>
      <t>(to direct customer, could be the retailer)</t>
    </r>
  </si>
  <si>
    <t>TOTAL SALES REVENUE</t>
  </si>
  <si>
    <t>Initial investment (R+D, pre-launch, MR)</t>
  </si>
  <si>
    <t>Size of the target market (buying units)</t>
  </si>
  <si>
    <t>Total 'Repeat' Customers (customer base)</t>
  </si>
  <si>
    <t>Profit contribution after expenses</t>
  </si>
  <si>
    <t>Cumulative profit contribution</t>
  </si>
  <si>
    <t>Profit Contribution (after cannibalization)</t>
  </si>
  <si>
    <t>Cumulative Profit Contribution</t>
  </si>
  <si>
    <r>
      <t xml:space="preserve">Discount Rate </t>
    </r>
    <r>
      <rPr>
        <b/>
        <i/>
        <sz val="14"/>
        <color theme="1"/>
        <rFont val="Calibri"/>
        <family val="2"/>
        <scheme val="minor"/>
      </rPr>
      <t>(if applicable, or set to 0%)</t>
    </r>
  </si>
  <si>
    <t>SALES + CUSTOMERS</t>
  </si>
  <si>
    <t>Brand Penetration (% of market)</t>
  </si>
  <si>
    <t>FORECAST WITH CANNIBALIZATION</t>
  </si>
  <si>
    <t>INVESTMENT COSTS</t>
  </si>
  <si>
    <t>Unit Sales</t>
  </si>
  <si>
    <t>Sales Revenue</t>
  </si>
  <si>
    <t>Cumulation Profit/Loss</t>
  </si>
  <si>
    <t>Annual Profit/Loss</t>
  </si>
  <si>
    <t xml:space="preserve">Availability </t>
  </si>
  <si>
    <t>This output is produced automatically - do not make changes here - use the input page and the yellow cells only</t>
  </si>
  <si>
    <t xml:space="preserve">Price per unit, after discounts         </t>
  </si>
  <si>
    <t>New Product</t>
  </si>
  <si>
    <t>marketingstudyguide.com/atar-formula/</t>
  </si>
  <si>
    <t>Please note that there is example data below - type over these numbers to enter your own data</t>
  </si>
  <si>
    <t>© Marketing Study Guide</t>
  </si>
  <si>
    <t>Gross Margin Profit</t>
  </si>
  <si>
    <t>New Product Forecast</t>
  </si>
  <si>
    <t>Welcome to the Free ATAR Forecasting Template for New Products</t>
  </si>
  <si>
    <r>
      <rPr>
        <i/>
        <sz val="16"/>
        <color theme="1"/>
        <rFont val="Calibri"/>
        <family val="2"/>
        <scheme val="minor"/>
      </rPr>
      <t xml:space="preserve">For advanced users only, template password is </t>
    </r>
    <r>
      <rPr>
        <b/>
        <i/>
        <sz val="16"/>
        <color theme="1"/>
        <rFont val="Calibri"/>
        <family val="2"/>
        <scheme val="minor"/>
      </rPr>
      <t>ATAR</t>
    </r>
  </si>
  <si>
    <r>
      <t xml:space="preserve">INSTRUCTIONS - FILL IN THE </t>
    </r>
    <r>
      <rPr>
        <b/>
        <u/>
        <sz val="16"/>
        <color theme="1"/>
        <rFont val="Calibri"/>
        <family val="2"/>
        <scheme val="minor"/>
      </rPr>
      <t>YELLOW</t>
    </r>
    <r>
      <rPr>
        <b/>
        <sz val="16"/>
        <color theme="1"/>
        <rFont val="Calibri"/>
        <family val="2"/>
        <scheme val="minor"/>
      </rPr>
      <t xml:space="preserve"> CELLS ONLY</t>
    </r>
  </si>
  <si>
    <t>= Lost sales of the firm's other products</t>
  </si>
  <si>
    <t>Lost Unit Sales of Existing Products</t>
  </si>
  <si>
    <t>% Sales of New Product from Existing Products</t>
  </si>
  <si>
    <t>Estimated Margin per Unit of Existing Products</t>
  </si>
  <si>
    <t>Lost Gross Margin on Existing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</si>
</sst>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  <numFmt numFmtId="168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0">
    <xf numFmtId="0" fontId="0" fillId="0" borderId="0" xfId="0"/>
    <xf numFmtId="0" fontId="6" fillId="0" borderId="0" xfId="0" applyFont="1"/>
    <xf numFmtId="0" fontId="7" fillId="0" borderId="0" xfId="0" applyFont="1" applyFill="1" applyBorder="1" applyAlignment="1"/>
    <xf numFmtId="0" fontId="6" fillId="0" borderId="0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7" xfId="0" applyFont="1" applyBorder="1"/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1" xfId="0" applyFont="1" applyBorder="1"/>
    <xf numFmtId="3" fontId="6" fillId="0" borderId="9" xfId="0" applyNumberFormat="1" applyFont="1" applyBorder="1" applyAlignment="1">
      <alignment horizontal="center"/>
    </xf>
    <xf numFmtId="3" fontId="6" fillId="2" borderId="2" xfId="1" applyNumberFormat="1" applyFont="1" applyFill="1" applyBorder="1" applyAlignment="1">
      <alignment horizontal="center" vertical="center"/>
    </xf>
    <xf numFmtId="3" fontId="6" fillId="2" borderId="3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9" fontId="6" fillId="0" borderId="0" xfId="2" applyFont="1" applyFill="1" applyBorder="1" applyAlignment="1">
      <alignment horizontal="center" vertical="center"/>
    </xf>
    <xf numFmtId="0" fontId="7" fillId="0" borderId="7" xfId="0" applyFont="1" applyBorder="1"/>
    <xf numFmtId="9" fontId="6" fillId="0" borderId="0" xfId="2" applyFont="1" applyFill="1" applyBorder="1" applyAlignment="1">
      <alignment horizontal="center"/>
    </xf>
    <xf numFmtId="0" fontId="7" fillId="0" borderId="4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6" fillId="0" borderId="0" xfId="0" applyNumberFormat="1" applyFont="1"/>
    <xf numFmtId="3" fontId="6" fillId="2" borderId="2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64" fontId="6" fillId="0" borderId="0" xfId="1" applyNumberFormat="1" applyFont="1"/>
    <xf numFmtId="3" fontId="6" fillId="2" borderId="0" xfId="0" applyNumberFormat="1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 vertical="center"/>
    </xf>
    <xf numFmtId="3" fontId="6" fillId="2" borderId="8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8" fillId="0" borderId="4" xfId="0" applyFont="1" applyBorder="1"/>
    <xf numFmtId="3" fontId="8" fillId="2" borderId="11" xfId="0" applyNumberFormat="1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2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6" xfId="0" applyFont="1" applyBorder="1"/>
    <xf numFmtId="3" fontId="6" fillId="2" borderId="1" xfId="0" applyNumberFormat="1" applyFont="1" applyFill="1" applyBorder="1"/>
    <xf numFmtId="3" fontId="6" fillId="2" borderId="2" xfId="0" applyNumberFormat="1" applyFont="1" applyFill="1" applyBorder="1"/>
    <xf numFmtId="3" fontId="6" fillId="2" borderId="3" xfId="0" applyNumberFormat="1" applyFont="1" applyFill="1" applyBorder="1"/>
    <xf numFmtId="3" fontId="6" fillId="0" borderId="0" xfId="0" applyNumberFormat="1" applyFont="1" applyFill="1" applyBorder="1"/>
    <xf numFmtId="3" fontId="6" fillId="2" borderId="4" xfId="0" applyNumberFormat="1" applyFont="1" applyFill="1" applyBorder="1"/>
    <xf numFmtId="3" fontId="6" fillId="2" borderId="5" xfId="0" applyNumberFormat="1" applyFont="1" applyFill="1" applyBorder="1"/>
    <xf numFmtId="3" fontId="6" fillId="2" borderId="6" xfId="0" applyNumberFormat="1" applyFont="1" applyFill="1" applyBorder="1"/>
    <xf numFmtId="3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5" borderId="7" xfId="0" applyFont="1" applyFill="1" applyBorder="1"/>
    <xf numFmtId="167" fontId="6" fillId="2" borderId="10" xfId="1" applyNumberFormat="1" applyFont="1" applyFill="1" applyBorder="1"/>
    <xf numFmtId="166" fontId="6" fillId="2" borderId="10" xfId="0" applyNumberFormat="1" applyFont="1" applyFill="1" applyBorder="1"/>
    <xf numFmtId="0" fontId="7" fillId="0" borderId="0" xfId="0" applyFont="1" applyFill="1" applyBorder="1"/>
    <xf numFmtId="166" fontId="6" fillId="2" borderId="10" xfId="2" applyNumberFormat="1" applyFont="1" applyFill="1" applyBorder="1"/>
    <xf numFmtId="167" fontId="6" fillId="2" borderId="10" xfId="2" applyNumberFormat="1" applyFont="1" applyFill="1" applyBorder="1"/>
    <xf numFmtId="0" fontId="7" fillId="5" borderId="4" xfId="0" applyFont="1" applyFill="1" applyBorder="1"/>
    <xf numFmtId="0" fontId="6" fillId="5" borderId="6" xfId="0" applyFont="1" applyFill="1" applyBorder="1"/>
    <xf numFmtId="1" fontId="6" fillId="2" borderId="11" xfId="0" applyNumberFormat="1" applyFont="1" applyFill="1" applyBorder="1"/>
    <xf numFmtId="0" fontId="7" fillId="4" borderId="11" xfId="0" applyFont="1" applyFill="1" applyBorder="1"/>
    <xf numFmtId="2" fontId="6" fillId="2" borderId="0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2" fontId="6" fillId="2" borderId="7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0" fontId="7" fillId="0" borderId="10" xfId="0" applyFont="1" applyBorder="1" applyAlignment="1">
      <alignment wrapText="1"/>
    </xf>
    <xf numFmtId="0" fontId="6" fillId="0" borderId="10" xfId="0" applyFont="1" applyBorder="1"/>
    <xf numFmtId="0" fontId="6" fillId="0" borderId="11" xfId="0" applyFont="1" applyBorder="1"/>
    <xf numFmtId="0" fontId="6" fillId="0" borderId="9" xfId="0" applyFont="1" applyBorder="1"/>
    <xf numFmtId="0" fontId="7" fillId="2" borderId="1" xfId="0" applyFont="1" applyFill="1" applyBorder="1"/>
    <xf numFmtId="0" fontId="7" fillId="2" borderId="15" xfId="0" applyFont="1" applyFill="1" applyBorder="1"/>
    <xf numFmtId="166" fontId="6" fillId="2" borderId="7" xfId="2" applyNumberFormat="1" applyFont="1" applyFill="1" applyBorder="1" applyAlignment="1">
      <alignment horizontal="center"/>
    </xf>
    <xf numFmtId="166" fontId="6" fillId="2" borderId="0" xfId="0" applyNumberFormat="1" applyFont="1" applyFill="1" applyBorder="1" applyAlignment="1">
      <alignment horizontal="center"/>
    </xf>
    <xf numFmtId="166" fontId="6" fillId="2" borderId="8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9" fillId="0" borderId="0" xfId="0" applyFont="1"/>
    <xf numFmtId="0" fontId="10" fillId="0" borderId="0" xfId="0" applyFont="1" applyFill="1" applyBorder="1" applyAlignment="1"/>
    <xf numFmtId="0" fontId="9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9" fontId="9" fillId="0" borderId="0" xfId="2" applyFont="1" applyFill="1" applyBorder="1" applyAlignment="1">
      <alignment horizontal="center" vertical="center"/>
    </xf>
    <xf numFmtId="9" fontId="9" fillId="0" borderId="0" xfId="2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9" fontId="9" fillId="0" borderId="0" xfId="0" applyNumberFormat="1" applyFont="1" applyFill="1" applyBorder="1"/>
    <xf numFmtId="0" fontId="11" fillId="0" borderId="0" xfId="0" applyFont="1" applyFill="1" applyBorder="1"/>
    <xf numFmtId="164" fontId="9" fillId="0" borderId="0" xfId="0" applyNumberFormat="1" applyFont="1" applyFill="1" applyBorder="1"/>
    <xf numFmtId="10" fontId="9" fillId="0" borderId="0" xfId="2" applyNumberFormat="1" applyFont="1" applyFill="1" applyBorder="1"/>
    <xf numFmtId="164" fontId="9" fillId="0" borderId="0" xfId="1" applyNumberFormat="1" applyFont="1" applyFill="1" applyBorder="1"/>
    <xf numFmtId="165" fontId="9" fillId="0" borderId="0" xfId="0" applyNumberFormat="1" applyFont="1" applyFill="1" applyBorder="1"/>
    <xf numFmtId="3" fontId="9" fillId="0" borderId="0" xfId="0" applyNumberFormat="1" applyFont="1" applyFill="1" applyBorder="1"/>
    <xf numFmtId="9" fontId="9" fillId="0" borderId="0" xfId="2" applyFont="1" applyFill="1" applyBorder="1"/>
    <xf numFmtId="166" fontId="9" fillId="0" borderId="0" xfId="2" applyNumberFormat="1" applyFont="1" applyFill="1" applyBorder="1"/>
    <xf numFmtId="0" fontId="8" fillId="2" borderId="4" xfId="0" applyFont="1" applyFill="1" applyBorder="1"/>
    <xf numFmtId="0" fontId="7" fillId="5" borderId="9" xfId="0" applyFont="1" applyFill="1" applyBorder="1"/>
    <xf numFmtId="3" fontId="7" fillId="5" borderId="3" xfId="0" applyNumberFormat="1" applyFont="1" applyFill="1" applyBorder="1"/>
    <xf numFmtId="3" fontId="7" fillId="5" borderId="1" xfId="0" applyNumberFormat="1" applyFont="1" applyFill="1" applyBorder="1"/>
    <xf numFmtId="3" fontId="7" fillId="5" borderId="2" xfId="0" applyNumberFormat="1" applyFont="1" applyFill="1" applyBorder="1"/>
    <xf numFmtId="0" fontId="8" fillId="5" borderId="11" xfId="0" applyFont="1" applyFill="1" applyBorder="1"/>
    <xf numFmtId="3" fontId="8" fillId="5" borderId="6" xfId="0" applyNumberFormat="1" applyFont="1" applyFill="1" applyBorder="1"/>
    <xf numFmtId="3" fontId="8" fillId="5" borderId="4" xfId="0" applyNumberFormat="1" applyFont="1" applyFill="1" applyBorder="1"/>
    <xf numFmtId="3" fontId="8" fillId="5" borderId="5" xfId="0" applyNumberFormat="1" applyFont="1" applyFill="1" applyBorder="1"/>
    <xf numFmtId="10" fontId="6" fillId="2" borderId="0" xfId="2" applyNumberFormat="1" applyFont="1" applyFill="1" applyBorder="1" applyAlignment="1">
      <alignment horizontal="center"/>
    </xf>
    <xf numFmtId="10" fontId="6" fillId="2" borderId="0" xfId="0" applyNumberFormat="1" applyFont="1" applyFill="1" applyBorder="1" applyAlignment="1">
      <alignment horizontal="center"/>
    </xf>
    <xf numFmtId="10" fontId="6" fillId="2" borderId="8" xfId="0" applyNumberFormat="1" applyFont="1" applyFill="1" applyBorder="1" applyAlignment="1">
      <alignment horizontal="center"/>
    </xf>
    <xf numFmtId="0" fontId="0" fillId="0" borderId="0" xfId="0" applyBorder="1"/>
    <xf numFmtId="0" fontId="7" fillId="2" borderId="12" xfId="0" applyFont="1" applyFill="1" applyBorder="1"/>
    <xf numFmtId="0" fontId="0" fillId="0" borderId="0" xfId="0" applyFill="1" applyBorder="1"/>
    <xf numFmtId="168" fontId="6" fillId="0" borderId="0" xfId="1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7" fillId="0" borderId="7" xfId="0" applyFont="1" applyFill="1" applyBorder="1"/>
    <xf numFmtId="0" fontId="7" fillId="0" borderId="4" xfId="0" applyFont="1" applyFill="1" applyBorder="1"/>
    <xf numFmtId="0" fontId="6" fillId="0" borderId="11" xfId="0" applyFont="1" applyFill="1" applyBorder="1" applyAlignment="1">
      <alignment horizontal="center"/>
    </xf>
    <xf numFmtId="0" fontId="6" fillId="0" borderId="7" xfId="0" applyFont="1" applyFill="1" applyBorder="1"/>
    <xf numFmtId="0" fontId="6" fillId="0" borderId="10" xfId="0" applyFont="1" applyFill="1" applyBorder="1"/>
    <xf numFmtId="0" fontId="6" fillId="0" borderId="15" xfId="0" applyFont="1" applyFill="1" applyBorder="1"/>
    <xf numFmtId="0" fontId="6" fillId="0" borderId="2" xfId="0" applyFont="1" applyFill="1" applyBorder="1" applyAlignment="1">
      <alignment horizontal="center"/>
    </xf>
    <xf numFmtId="0" fontId="6" fillId="0" borderId="8" xfId="0" applyFont="1" applyFill="1" applyBorder="1"/>
    <xf numFmtId="9" fontId="6" fillId="0" borderId="8" xfId="2" applyFont="1" applyFill="1" applyBorder="1" applyAlignment="1">
      <alignment horizontal="center" vertical="center"/>
    </xf>
    <xf numFmtId="9" fontId="6" fillId="0" borderId="8" xfId="2" applyFont="1" applyFill="1" applyBorder="1" applyAlignment="1">
      <alignment horizontal="center"/>
    </xf>
    <xf numFmtId="168" fontId="6" fillId="0" borderId="8" xfId="1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6" fillId="0" borderId="4" xfId="0" applyFont="1" applyFill="1" applyBorder="1"/>
    <xf numFmtId="3" fontId="6" fillId="0" borderId="5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168" fontId="6" fillId="0" borderId="5" xfId="1" applyNumberFormat="1" applyFont="1" applyFill="1" applyBorder="1" applyAlignment="1">
      <alignment horizontal="center"/>
    </xf>
    <xf numFmtId="168" fontId="6" fillId="0" borderId="6" xfId="1" applyNumberFormat="1" applyFont="1" applyFill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168" fontId="6" fillId="0" borderId="7" xfId="1" applyNumberFormat="1" applyFont="1" applyFill="1" applyBorder="1" applyAlignment="1">
      <alignment horizontal="center"/>
    </xf>
    <xf numFmtId="168" fontId="6" fillId="0" borderId="4" xfId="1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4" xfId="0" applyFont="1" applyFill="1" applyBorder="1"/>
    <xf numFmtId="0" fontId="6" fillId="2" borderId="11" xfId="0" applyFont="1" applyFill="1" applyBorder="1" applyAlignment="1">
      <alignment horizontal="center"/>
    </xf>
    <xf numFmtId="0" fontId="7" fillId="9" borderId="11" xfId="0" applyFont="1" applyFill="1" applyBorder="1"/>
    <xf numFmtId="0" fontId="7" fillId="9" borderId="1" xfId="0" applyFont="1" applyFill="1" applyBorder="1"/>
    <xf numFmtId="0" fontId="7" fillId="9" borderId="12" xfId="0" applyFont="1" applyFill="1" applyBorder="1"/>
    <xf numFmtId="3" fontId="7" fillId="0" borderId="8" xfId="0" applyNumberFormat="1" applyFont="1" applyFill="1" applyBorder="1" applyAlignment="1">
      <alignment horizontal="center"/>
    </xf>
    <xf numFmtId="0" fontId="14" fillId="2" borderId="4" xfId="0" applyFont="1" applyFill="1" applyBorder="1"/>
    <xf numFmtId="3" fontId="14" fillId="2" borderId="11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6" xfId="0" applyNumberFormat="1" applyFont="1" applyFill="1" applyBorder="1" applyAlignment="1">
      <alignment horizontal="center"/>
    </xf>
    <xf numFmtId="0" fontId="7" fillId="9" borderId="9" xfId="0" applyFont="1" applyFill="1" applyBorder="1"/>
    <xf numFmtId="0" fontId="13" fillId="0" borderId="0" xfId="0" applyFont="1"/>
    <xf numFmtId="9" fontId="13" fillId="0" borderId="0" xfId="0" applyNumberFormat="1" applyFont="1"/>
    <xf numFmtId="0" fontId="13" fillId="0" borderId="0" xfId="0" applyFont="1" applyBorder="1"/>
    <xf numFmtId="3" fontId="13" fillId="0" borderId="0" xfId="0" applyNumberFormat="1" applyFont="1"/>
    <xf numFmtId="0" fontId="7" fillId="3" borderId="15" xfId="0" applyFont="1" applyFill="1" applyBorder="1" applyProtection="1">
      <protection locked="0"/>
    </xf>
    <xf numFmtId="3" fontId="6" fillId="3" borderId="2" xfId="1" applyNumberFormat="1" applyFont="1" applyFill="1" applyBorder="1" applyAlignment="1" applyProtection="1">
      <alignment horizontal="center" vertical="center"/>
      <protection locked="0"/>
    </xf>
    <xf numFmtId="9" fontId="6" fillId="3" borderId="2" xfId="2" applyFont="1" applyFill="1" applyBorder="1" applyAlignment="1" applyProtection="1">
      <alignment horizontal="center" vertical="center"/>
      <protection locked="0"/>
    </xf>
    <xf numFmtId="9" fontId="6" fillId="3" borderId="3" xfId="2" applyFont="1" applyFill="1" applyBorder="1" applyAlignment="1" applyProtection="1">
      <alignment horizontal="center" vertical="center"/>
      <protection locked="0"/>
    </xf>
    <xf numFmtId="9" fontId="6" fillId="3" borderId="0" xfId="2" applyFont="1" applyFill="1" applyBorder="1" applyAlignment="1" applyProtection="1">
      <alignment horizontal="center" vertical="center"/>
      <protection locked="0"/>
    </xf>
    <xf numFmtId="9" fontId="6" fillId="3" borderId="8" xfId="2" applyFont="1" applyFill="1" applyBorder="1" applyAlignment="1" applyProtection="1">
      <alignment horizontal="center" vertical="center"/>
      <protection locked="0"/>
    </xf>
    <xf numFmtId="9" fontId="6" fillId="3" borderId="0" xfId="2" applyFont="1" applyFill="1" applyBorder="1" applyAlignment="1" applyProtection="1">
      <alignment horizontal="center"/>
      <protection locked="0"/>
    </xf>
    <xf numFmtId="9" fontId="6" fillId="3" borderId="8" xfId="2" applyFont="1" applyFill="1" applyBorder="1" applyAlignment="1" applyProtection="1">
      <alignment horizontal="center"/>
      <protection locked="0"/>
    </xf>
    <xf numFmtId="9" fontId="6" fillId="3" borderId="5" xfId="2" applyFont="1" applyFill="1" applyBorder="1" applyAlignment="1" applyProtection="1">
      <alignment horizontal="center"/>
      <protection locked="0"/>
    </xf>
    <xf numFmtId="9" fontId="6" fillId="3" borderId="6" xfId="2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2" fontId="6" fillId="3" borderId="7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8" xfId="0" applyNumberFormat="1" applyFont="1" applyFill="1" applyBorder="1" applyAlignment="1" applyProtection="1">
      <alignment horizontal="center" vertical="center"/>
      <protection locked="0"/>
    </xf>
    <xf numFmtId="2" fontId="6" fillId="3" borderId="7" xfId="0" applyNumberFormat="1" applyFont="1" applyFill="1" applyBorder="1" applyAlignment="1" applyProtection="1">
      <alignment horizontal="center"/>
      <protection locked="0"/>
    </xf>
    <xf numFmtId="2" fontId="6" fillId="3" borderId="0" xfId="0" applyNumberFormat="1" applyFont="1" applyFill="1" applyBorder="1" applyAlignment="1" applyProtection="1">
      <alignment horizontal="center"/>
      <protection locked="0"/>
    </xf>
    <xf numFmtId="2" fontId="6" fillId="3" borderId="8" xfId="0" applyNumberFormat="1" applyFont="1" applyFill="1" applyBorder="1" applyAlignment="1" applyProtection="1">
      <alignment horizontal="center"/>
      <protection locked="0"/>
    </xf>
    <xf numFmtId="3" fontId="6" fillId="3" borderId="9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3" fontId="6" fillId="3" borderId="5" xfId="0" applyNumberFormat="1" applyFont="1" applyFill="1" applyBorder="1" applyAlignment="1" applyProtection="1">
      <alignment horizontal="center"/>
      <protection locked="0"/>
    </xf>
    <xf numFmtId="3" fontId="6" fillId="3" borderId="6" xfId="0" applyNumberFormat="1" applyFont="1" applyFill="1" applyBorder="1" applyAlignment="1" applyProtection="1">
      <alignment horizontal="center"/>
      <protection locked="0"/>
    </xf>
    <xf numFmtId="9" fontId="6" fillId="3" borderId="7" xfId="2" applyFont="1" applyFill="1" applyBorder="1" applyProtection="1">
      <protection locked="0"/>
    </xf>
    <xf numFmtId="43" fontId="6" fillId="3" borderId="4" xfId="1" applyFont="1" applyFill="1" applyBorder="1" applyProtection="1">
      <protection locked="0"/>
    </xf>
    <xf numFmtId="9" fontId="6" fillId="3" borderId="11" xfId="2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/>
    </xf>
    <xf numFmtId="0" fontId="16" fillId="2" borderId="5" xfId="3" applyFont="1" applyFill="1" applyBorder="1" applyAlignment="1">
      <alignment horizontal="left" vertical="center"/>
    </xf>
    <xf numFmtId="0" fontId="16" fillId="2" borderId="6" xfId="3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14" fillId="11" borderId="12" xfId="0" applyFont="1" applyFill="1" applyBorder="1" applyAlignment="1">
      <alignment horizontal="center"/>
    </xf>
    <xf numFmtId="0" fontId="14" fillId="11" borderId="13" xfId="0" applyFont="1" applyFill="1" applyBorder="1" applyAlignment="1">
      <alignment horizontal="center"/>
    </xf>
    <xf numFmtId="0" fontId="14" fillId="11" borderId="14" xfId="0" applyFont="1" applyFill="1" applyBorder="1" applyAlignment="1">
      <alignment horizontal="center"/>
    </xf>
    <xf numFmtId="0" fontId="17" fillId="7" borderId="13" xfId="0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/>
    </xf>
    <xf numFmtId="3" fontId="6" fillId="0" borderId="13" xfId="1" applyNumberFormat="1" applyFont="1" applyFill="1" applyBorder="1" applyAlignment="1">
      <alignment horizontal="center" vertical="center"/>
    </xf>
    <xf numFmtId="3" fontId="6" fillId="0" borderId="14" xfId="1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18" fillId="0" borderId="0" xfId="0" applyFont="1"/>
    <xf numFmtId="0" fontId="15" fillId="2" borderId="12" xfId="0" applyFont="1" applyFill="1" applyBorder="1" applyAlignment="1">
      <alignment horizontal="right"/>
    </xf>
    <xf numFmtId="0" fontId="15" fillId="2" borderId="13" xfId="0" applyFont="1" applyFill="1" applyBorder="1" applyAlignment="1">
      <alignment horizontal="right"/>
    </xf>
    <xf numFmtId="9" fontId="14" fillId="3" borderId="5" xfId="0" applyNumberFormat="1" applyFont="1" applyFill="1" applyBorder="1" applyAlignment="1" applyProtection="1">
      <alignment horizontal="center"/>
      <protection locked="0"/>
    </xf>
    <xf numFmtId="0" fontId="17" fillId="0" borderId="9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3" fontId="7" fillId="0" borderId="15" xfId="0" applyNumberFormat="1" applyFont="1" applyFill="1" applyBorder="1" applyAlignment="1">
      <alignment horizontal="center"/>
    </xf>
    <xf numFmtId="3" fontId="7" fillId="0" borderId="13" xfId="1" applyNumberFormat="1" applyFont="1" applyFill="1" applyBorder="1" applyAlignment="1">
      <alignment horizontal="center" vertical="center"/>
    </xf>
    <xf numFmtId="3" fontId="7" fillId="0" borderId="14" xfId="1" applyNumberFormat="1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ATAR</a:t>
            </a:r>
            <a:r>
              <a:rPr lang="en-AU" baseline="0"/>
              <a:t> Assumptions</a:t>
            </a:r>
            <a:endParaRPr lang="en-A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Graphs!$P$4</c:f>
              <c:strCache>
                <c:ptCount val="1"/>
                <c:pt idx="0">
                  <c:v>Awareness</c:v>
                </c:pt>
              </c:strCache>
            </c:strRef>
          </c:tx>
          <c:invertIfNegative val="0"/>
          <c:cat>
            <c:strRef>
              <c:f>Graphs!$Q$3:$U$3</c:f>
              <c:strCache>
                <c:ptCount val="5"/>
                <c:pt idx="0">
                  <c:v>Yr 1</c:v>
                </c:pt>
                <c:pt idx="1">
                  <c:v>Yr 2</c:v>
                </c:pt>
                <c:pt idx="2">
                  <c:v>Yr 3</c:v>
                </c:pt>
                <c:pt idx="3">
                  <c:v>Yr 4</c:v>
                </c:pt>
                <c:pt idx="4">
                  <c:v>Yr 5</c:v>
                </c:pt>
              </c:strCache>
            </c:strRef>
          </c:cat>
          <c:val>
            <c:numRef>
              <c:f>Graphs!$Q$4:$U$4</c:f>
              <c:numCache>
                <c:formatCode>0%</c:formatCode>
                <c:ptCount val="5"/>
                <c:pt idx="0">
                  <c:v>0.1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2-4DC8-8989-D4B12B62AF5A}"/>
            </c:ext>
          </c:extLst>
        </c:ser>
        <c:ser>
          <c:idx val="1"/>
          <c:order val="1"/>
          <c:tx>
            <c:strRef>
              <c:f>Graphs!$P$5</c:f>
              <c:strCache>
                <c:ptCount val="1"/>
                <c:pt idx="0">
                  <c:v>Trial rate</c:v>
                </c:pt>
              </c:strCache>
            </c:strRef>
          </c:tx>
          <c:invertIfNegative val="0"/>
          <c:cat>
            <c:strRef>
              <c:f>Graphs!$Q$3:$U$3</c:f>
              <c:strCache>
                <c:ptCount val="5"/>
                <c:pt idx="0">
                  <c:v>Yr 1</c:v>
                </c:pt>
                <c:pt idx="1">
                  <c:v>Yr 2</c:v>
                </c:pt>
                <c:pt idx="2">
                  <c:v>Yr 3</c:v>
                </c:pt>
                <c:pt idx="3">
                  <c:v>Yr 4</c:v>
                </c:pt>
                <c:pt idx="4">
                  <c:v>Yr 5</c:v>
                </c:pt>
              </c:strCache>
            </c:strRef>
          </c:cat>
          <c:val>
            <c:numRef>
              <c:f>Graphs!$Q$5:$U$5</c:f>
              <c:numCache>
                <c:formatCode>0%</c:formatCode>
                <c:ptCount val="5"/>
                <c:pt idx="0">
                  <c:v>0.2</c:v>
                </c:pt>
                <c:pt idx="1">
                  <c:v>0.15</c:v>
                </c:pt>
                <c:pt idx="2">
                  <c:v>0.1</c:v>
                </c:pt>
                <c:pt idx="3">
                  <c:v>0.05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2-4DC8-8989-D4B12B62AF5A}"/>
            </c:ext>
          </c:extLst>
        </c:ser>
        <c:ser>
          <c:idx val="2"/>
          <c:order val="2"/>
          <c:tx>
            <c:strRef>
              <c:f>Graphs!$P$6</c:f>
              <c:strCache>
                <c:ptCount val="1"/>
                <c:pt idx="0">
                  <c:v>Availability</c:v>
                </c:pt>
              </c:strCache>
            </c:strRef>
          </c:tx>
          <c:invertIfNegative val="0"/>
          <c:cat>
            <c:strRef>
              <c:f>Graphs!$Q$3:$U$3</c:f>
              <c:strCache>
                <c:ptCount val="5"/>
                <c:pt idx="0">
                  <c:v>Yr 1</c:v>
                </c:pt>
                <c:pt idx="1">
                  <c:v>Yr 2</c:v>
                </c:pt>
                <c:pt idx="2">
                  <c:v>Yr 3</c:v>
                </c:pt>
                <c:pt idx="3">
                  <c:v>Yr 4</c:v>
                </c:pt>
                <c:pt idx="4">
                  <c:v>Yr 5</c:v>
                </c:pt>
              </c:strCache>
            </c:strRef>
          </c:cat>
          <c:val>
            <c:numRef>
              <c:f>Graphs!$Q$6:$U$6</c:f>
              <c:numCache>
                <c:formatCode>0%</c:formatCode>
                <c:ptCount val="5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22-4DC8-8989-D4B12B62AF5A}"/>
            </c:ext>
          </c:extLst>
        </c:ser>
        <c:ser>
          <c:idx val="3"/>
          <c:order val="3"/>
          <c:tx>
            <c:strRef>
              <c:f>Graphs!$P$7</c:f>
              <c:strCache>
                <c:ptCount val="1"/>
                <c:pt idx="0">
                  <c:v>Repeat</c:v>
                </c:pt>
              </c:strCache>
            </c:strRef>
          </c:tx>
          <c:invertIfNegative val="0"/>
          <c:cat>
            <c:strRef>
              <c:f>Graphs!$Q$3:$U$3</c:f>
              <c:strCache>
                <c:ptCount val="5"/>
                <c:pt idx="0">
                  <c:v>Yr 1</c:v>
                </c:pt>
                <c:pt idx="1">
                  <c:v>Yr 2</c:v>
                </c:pt>
                <c:pt idx="2">
                  <c:v>Yr 3</c:v>
                </c:pt>
                <c:pt idx="3">
                  <c:v>Yr 4</c:v>
                </c:pt>
                <c:pt idx="4">
                  <c:v>Yr 5</c:v>
                </c:pt>
              </c:strCache>
            </c:strRef>
          </c:cat>
          <c:val>
            <c:numRef>
              <c:f>Graphs!$Q$7:$U$7</c:f>
              <c:numCache>
                <c:formatCode>0%</c:formatCode>
                <c:ptCount val="5"/>
                <c:pt idx="0">
                  <c:v>0.4</c:v>
                </c:pt>
                <c:pt idx="1">
                  <c:v>0.42</c:v>
                </c:pt>
                <c:pt idx="2">
                  <c:v>0.44</c:v>
                </c:pt>
                <c:pt idx="3">
                  <c:v>0.46</c:v>
                </c:pt>
                <c:pt idx="4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22-4DC8-8989-D4B12B62A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974336"/>
        <c:axId val="74975872"/>
      </c:barChart>
      <c:catAx>
        <c:axId val="7497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975872"/>
        <c:crosses val="autoZero"/>
        <c:auto val="1"/>
        <c:lblAlgn val="ctr"/>
        <c:lblOffset val="100"/>
        <c:noMultiLvlLbl val="0"/>
      </c:catAx>
      <c:valAx>
        <c:axId val="749758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49743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Sales</a:t>
            </a:r>
            <a:r>
              <a:rPr lang="en-AU" baseline="0"/>
              <a:t> Forecast Units and Revenue (</a:t>
            </a:r>
            <a:r>
              <a:rPr lang="en-AU" sz="1400" i="1" baseline="0"/>
              <a:t>on 2nd axis</a:t>
            </a:r>
            <a:r>
              <a:rPr lang="en-AU" baseline="0"/>
              <a:t>)</a:t>
            </a:r>
            <a:endParaRPr lang="en-A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Graphs!$R$21</c:f>
              <c:strCache>
                <c:ptCount val="1"/>
                <c:pt idx="0">
                  <c:v>Unit Sales</c:v>
                </c:pt>
              </c:strCache>
            </c:strRef>
          </c:tx>
          <c:marker>
            <c:symbol val="none"/>
          </c:marker>
          <c:cat>
            <c:strRef>
              <c:f>Graphs!$S$20:$W$20</c:f>
              <c:strCache>
                <c:ptCount val="5"/>
                <c:pt idx="0">
                  <c:v>Yr 1</c:v>
                </c:pt>
                <c:pt idx="1">
                  <c:v>Yr 2</c:v>
                </c:pt>
                <c:pt idx="2">
                  <c:v>Yr 3</c:v>
                </c:pt>
                <c:pt idx="3">
                  <c:v>Yr 4</c:v>
                </c:pt>
                <c:pt idx="4">
                  <c:v>Yr 5</c:v>
                </c:pt>
              </c:strCache>
            </c:strRef>
          </c:cat>
          <c:val>
            <c:numRef>
              <c:f>Graphs!$S$21:$W$21</c:f>
              <c:numCache>
                <c:formatCode>#,##0</c:formatCode>
                <c:ptCount val="5"/>
                <c:pt idx="0">
                  <c:v>86000.000000000015</c:v>
                </c:pt>
                <c:pt idx="1">
                  <c:v>244398.125</c:v>
                </c:pt>
                <c:pt idx="2">
                  <c:v>498048.75</c:v>
                </c:pt>
                <c:pt idx="3">
                  <c:v>682520.1796875</c:v>
                </c:pt>
                <c:pt idx="4">
                  <c:v>892403.69531250012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04-4392-A6A9-FF202B0D1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61280"/>
        <c:axId val="76124928"/>
      </c:lineChart>
      <c:lineChart>
        <c:grouping val="standard"/>
        <c:varyColors val="0"/>
        <c:ser>
          <c:idx val="1"/>
          <c:order val="1"/>
          <c:tx>
            <c:strRef>
              <c:f>Graphs!$R$22</c:f>
              <c:strCache>
                <c:ptCount val="1"/>
                <c:pt idx="0">
                  <c:v>Sales Revenue</c:v>
                </c:pt>
              </c:strCache>
            </c:strRef>
          </c:tx>
          <c:marker>
            <c:symbol val="none"/>
          </c:marker>
          <c:cat>
            <c:strRef>
              <c:f>Graphs!$S$20:$W$20</c:f>
              <c:strCache>
                <c:ptCount val="5"/>
                <c:pt idx="0">
                  <c:v>Yr 1</c:v>
                </c:pt>
                <c:pt idx="1">
                  <c:v>Yr 2</c:v>
                </c:pt>
                <c:pt idx="2">
                  <c:v>Yr 3</c:v>
                </c:pt>
                <c:pt idx="3">
                  <c:v>Yr 4</c:v>
                </c:pt>
                <c:pt idx="4">
                  <c:v>Yr 5</c:v>
                </c:pt>
              </c:strCache>
            </c:strRef>
          </c:cat>
          <c:val>
            <c:numRef>
              <c:f>Graphs!$S$22:$W$22</c:f>
              <c:numCache>
                <c:formatCode>#,##0</c:formatCode>
                <c:ptCount val="5"/>
                <c:pt idx="0">
                  <c:v>430000.00000000006</c:v>
                </c:pt>
                <c:pt idx="1">
                  <c:v>1466388.75</c:v>
                </c:pt>
                <c:pt idx="2">
                  <c:v>3087902.25</c:v>
                </c:pt>
                <c:pt idx="3">
                  <c:v>4436381.16796875</c:v>
                </c:pt>
                <c:pt idx="4">
                  <c:v>6246825.8671875009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04-4392-A6A9-FF202B0D1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44640"/>
        <c:axId val="76126464"/>
      </c:lineChart>
      <c:catAx>
        <c:axId val="7536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6124928"/>
        <c:crosses val="autoZero"/>
        <c:auto val="1"/>
        <c:lblAlgn val="ctr"/>
        <c:lblOffset val="100"/>
        <c:noMultiLvlLbl val="0"/>
      </c:catAx>
      <c:valAx>
        <c:axId val="76124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Unit Sales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75361280"/>
        <c:crosses val="autoZero"/>
        <c:crossBetween val="between"/>
      </c:valAx>
      <c:valAx>
        <c:axId val="7612646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Revenue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76144640"/>
        <c:crosses val="max"/>
        <c:crossBetween val="between"/>
      </c:valAx>
      <c:catAx>
        <c:axId val="76144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12646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Profit Contribution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Graphs!$Q$48</c:f>
              <c:strCache>
                <c:ptCount val="1"/>
                <c:pt idx="0">
                  <c:v>Annual Profit/Loss</c:v>
                </c:pt>
              </c:strCache>
            </c:strRef>
          </c:tx>
          <c:marker>
            <c:symbol val="none"/>
          </c:marker>
          <c:cat>
            <c:strRef>
              <c:f>Graphs!$R$47:$W$47</c:f>
              <c:strCache>
                <c:ptCount val="6"/>
                <c:pt idx="0">
                  <c:v>Yr 0</c:v>
                </c:pt>
                <c:pt idx="1">
                  <c:v>Yr 1</c:v>
                </c:pt>
                <c:pt idx="2">
                  <c:v>Yr 2</c:v>
                </c:pt>
                <c:pt idx="3">
                  <c:v>Yr 3</c:v>
                </c:pt>
                <c:pt idx="4">
                  <c:v>Yr 4</c:v>
                </c:pt>
                <c:pt idx="5">
                  <c:v>Yr 5</c:v>
                </c:pt>
              </c:strCache>
            </c:strRef>
          </c:cat>
          <c:val>
            <c:numRef>
              <c:f>Graphs!$R$48:$W$48</c:f>
              <c:numCache>
                <c:formatCode>#,##0</c:formatCode>
                <c:ptCount val="6"/>
                <c:pt idx="0">
                  <c:v>-1000000</c:v>
                </c:pt>
                <c:pt idx="1">
                  <c:v>-77999.999999999971</c:v>
                </c:pt>
                <c:pt idx="2">
                  <c:v>570974.46875</c:v>
                </c:pt>
                <c:pt idx="3">
                  <c:v>1393951.125</c:v>
                </c:pt>
                <c:pt idx="4">
                  <c:v>2086442.6019531251</c:v>
                </c:pt>
                <c:pt idx="5">
                  <c:v>3141134.0421875003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D6-4CC5-A5A0-CB5FB0626B0C}"/>
            </c:ext>
          </c:extLst>
        </c:ser>
        <c:ser>
          <c:idx val="1"/>
          <c:order val="1"/>
          <c:tx>
            <c:strRef>
              <c:f>Graphs!$Q$49</c:f>
              <c:strCache>
                <c:ptCount val="1"/>
                <c:pt idx="0">
                  <c:v>Cumulation Profit/Loss</c:v>
                </c:pt>
              </c:strCache>
            </c:strRef>
          </c:tx>
          <c:marker>
            <c:symbol val="none"/>
          </c:marker>
          <c:cat>
            <c:strRef>
              <c:f>Graphs!$R$47:$W$47</c:f>
              <c:strCache>
                <c:ptCount val="6"/>
                <c:pt idx="0">
                  <c:v>Yr 0</c:v>
                </c:pt>
                <c:pt idx="1">
                  <c:v>Yr 1</c:v>
                </c:pt>
                <c:pt idx="2">
                  <c:v>Yr 2</c:v>
                </c:pt>
                <c:pt idx="3">
                  <c:v>Yr 3</c:v>
                </c:pt>
                <c:pt idx="4">
                  <c:v>Yr 4</c:v>
                </c:pt>
                <c:pt idx="5">
                  <c:v>Yr 5</c:v>
                </c:pt>
              </c:strCache>
            </c:strRef>
          </c:cat>
          <c:val>
            <c:numRef>
              <c:f>Graphs!$R$49:$W$49</c:f>
              <c:numCache>
                <c:formatCode>#,##0</c:formatCode>
                <c:ptCount val="6"/>
                <c:pt idx="0">
                  <c:v>-1000000</c:v>
                </c:pt>
                <c:pt idx="1">
                  <c:v>-1078000</c:v>
                </c:pt>
                <c:pt idx="2">
                  <c:v>-507025.53125</c:v>
                </c:pt>
                <c:pt idx="3">
                  <c:v>886925.59375</c:v>
                </c:pt>
                <c:pt idx="4">
                  <c:v>2973368.1957031251</c:v>
                </c:pt>
                <c:pt idx="5">
                  <c:v>6114502.2378906254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D6-4CC5-A5A0-CB5FB0626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554624"/>
        <c:axId val="76556160"/>
      </c:lineChart>
      <c:catAx>
        <c:axId val="76554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6556160"/>
        <c:crosses val="autoZero"/>
        <c:auto val="1"/>
        <c:lblAlgn val="ctr"/>
        <c:lblOffset val="100"/>
        <c:noMultiLvlLbl val="0"/>
      </c:catAx>
      <c:valAx>
        <c:axId val="765561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65546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Profit</a:t>
            </a:r>
            <a:r>
              <a:rPr lang="en-AU" baseline="0"/>
              <a:t> Contribution (Net of Cannibilization)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Graphs!$Q$70</c:f>
              <c:strCache>
                <c:ptCount val="1"/>
                <c:pt idx="0">
                  <c:v>Annual Profit/Loss</c:v>
                </c:pt>
              </c:strCache>
            </c:strRef>
          </c:tx>
          <c:marker>
            <c:symbol val="none"/>
          </c:marker>
          <c:cat>
            <c:strRef>
              <c:f>Graphs!$R$69:$W$69</c:f>
              <c:strCache>
                <c:ptCount val="6"/>
                <c:pt idx="0">
                  <c:v>Yr 0</c:v>
                </c:pt>
                <c:pt idx="1">
                  <c:v>Yr 1</c:v>
                </c:pt>
                <c:pt idx="2">
                  <c:v>Yr 2</c:v>
                </c:pt>
                <c:pt idx="3">
                  <c:v>Yr 3</c:v>
                </c:pt>
                <c:pt idx="4">
                  <c:v>Yr 4</c:v>
                </c:pt>
                <c:pt idx="5">
                  <c:v>Yr 5</c:v>
                </c:pt>
              </c:strCache>
            </c:strRef>
          </c:cat>
          <c:val>
            <c:numRef>
              <c:f>Graphs!$R$70:$W$70</c:f>
              <c:numCache>
                <c:formatCode>#,##0</c:formatCode>
                <c:ptCount val="6"/>
                <c:pt idx="0">
                  <c:v>-1000000</c:v>
                </c:pt>
                <c:pt idx="1">
                  <c:v>-133900</c:v>
                </c:pt>
                <c:pt idx="2">
                  <c:v>412115.6875</c:v>
                </c:pt>
                <c:pt idx="3">
                  <c:v>1070219.4375</c:v>
                </c:pt>
                <c:pt idx="4">
                  <c:v>1642804.4851562502</c:v>
                </c:pt>
                <c:pt idx="5">
                  <c:v>2561071.6402343754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B1-4A4C-A002-88FA514E6050}"/>
            </c:ext>
          </c:extLst>
        </c:ser>
        <c:ser>
          <c:idx val="1"/>
          <c:order val="1"/>
          <c:tx>
            <c:strRef>
              <c:f>Graphs!$Q$71</c:f>
              <c:strCache>
                <c:ptCount val="1"/>
                <c:pt idx="0">
                  <c:v>Cumulation Profit/Loss</c:v>
                </c:pt>
              </c:strCache>
            </c:strRef>
          </c:tx>
          <c:marker>
            <c:symbol val="none"/>
          </c:marker>
          <c:cat>
            <c:strRef>
              <c:f>Graphs!$R$69:$W$69</c:f>
              <c:strCache>
                <c:ptCount val="6"/>
                <c:pt idx="0">
                  <c:v>Yr 0</c:v>
                </c:pt>
                <c:pt idx="1">
                  <c:v>Yr 1</c:v>
                </c:pt>
                <c:pt idx="2">
                  <c:v>Yr 2</c:v>
                </c:pt>
                <c:pt idx="3">
                  <c:v>Yr 3</c:v>
                </c:pt>
                <c:pt idx="4">
                  <c:v>Yr 4</c:v>
                </c:pt>
                <c:pt idx="5">
                  <c:v>Yr 5</c:v>
                </c:pt>
              </c:strCache>
            </c:strRef>
          </c:cat>
          <c:val>
            <c:numRef>
              <c:f>Graphs!$R$71:$W$71</c:f>
              <c:numCache>
                <c:formatCode>#,##0</c:formatCode>
                <c:ptCount val="6"/>
                <c:pt idx="0">
                  <c:v>-1000000</c:v>
                </c:pt>
                <c:pt idx="1">
                  <c:v>-1133900</c:v>
                </c:pt>
                <c:pt idx="2">
                  <c:v>-721784.3125</c:v>
                </c:pt>
                <c:pt idx="3">
                  <c:v>348435.125</c:v>
                </c:pt>
                <c:pt idx="4">
                  <c:v>1991239.6101562502</c:v>
                </c:pt>
                <c:pt idx="5">
                  <c:v>4552311.2503906256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B1-4A4C-A002-88FA514E6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193536"/>
        <c:axId val="118212096"/>
      </c:lineChart>
      <c:catAx>
        <c:axId val="118193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8212096"/>
        <c:crosses val="autoZero"/>
        <c:auto val="1"/>
        <c:lblAlgn val="ctr"/>
        <c:lblOffset val="100"/>
        <c:noMultiLvlLbl val="0"/>
      </c:catAx>
      <c:valAx>
        <c:axId val="118212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81935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</xdr:row>
      <xdr:rowOff>104775</xdr:rowOff>
    </xdr:from>
    <xdr:to>
      <xdr:col>11</xdr:col>
      <xdr:colOff>533400</xdr:colOff>
      <xdr:row>19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390525</xdr:colOff>
      <xdr:row>9</xdr:row>
      <xdr:rowOff>142875</xdr:rowOff>
    </xdr:from>
    <xdr:to>
      <xdr:col>17</xdr:col>
      <xdr:colOff>104775</xdr:colOff>
      <xdr:row>14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315325" y="2162175"/>
          <a:ext cx="2152650" cy="857250"/>
        </a:xfrm>
        <a:prstGeom prst="downArrowCallout">
          <a:avLst/>
        </a:prstGeom>
        <a:solidFill>
          <a:srgbClr val="FFC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400"/>
            <a:t>More graphs</a:t>
          </a:r>
        </a:p>
      </xdr:txBody>
    </xdr:sp>
    <xdr:clientData/>
  </xdr:twoCellAnchor>
  <xdr:twoCellAnchor>
    <xdr:from>
      <xdr:col>2</xdr:col>
      <xdr:colOff>114300</xdr:colOff>
      <xdr:row>21</xdr:row>
      <xdr:rowOff>104774</xdr:rowOff>
    </xdr:from>
    <xdr:to>
      <xdr:col>12</xdr:col>
      <xdr:colOff>38100</xdr:colOff>
      <xdr:row>42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28</xdr:row>
      <xdr:rowOff>0</xdr:rowOff>
    </xdr:from>
    <xdr:to>
      <xdr:col>17</xdr:col>
      <xdr:colOff>323850</xdr:colOff>
      <xdr:row>32</xdr:row>
      <xdr:rowOff>95250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534400" y="5638800"/>
          <a:ext cx="2152650" cy="857250"/>
        </a:xfrm>
        <a:prstGeom prst="downArrowCallout">
          <a:avLst/>
        </a:prstGeom>
        <a:solidFill>
          <a:srgbClr val="FFC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400"/>
            <a:t>More graphs</a:t>
          </a:r>
        </a:p>
      </xdr:txBody>
    </xdr:sp>
    <xdr:clientData/>
  </xdr:twoCellAnchor>
  <xdr:twoCellAnchor>
    <xdr:from>
      <xdr:col>2</xdr:col>
      <xdr:colOff>152399</xdr:colOff>
      <xdr:row>44</xdr:row>
      <xdr:rowOff>104774</xdr:rowOff>
    </xdr:from>
    <xdr:to>
      <xdr:col>12</xdr:col>
      <xdr:colOff>85724</xdr:colOff>
      <xdr:row>64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447675</xdr:colOff>
      <xdr:row>50</xdr:row>
      <xdr:rowOff>76200</xdr:rowOff>
    </xdr:from>
    <xdr:to>
      <xdr:col>17</xdr:col>
      <xdr:colOff>161925</xdr:colOff>
      <xdr:row>54</xdr:row>
      <xdr:rowOff>171450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8372475" y="9906000"/>
          <a:ext cx="2152650" cy="857250"/>
        </a:xfrm>
        <a:prstGeom prst="downArrowCallout">
          <a:avLst/>
        </a:prstGeom>
        <a:solidFill>
          <a:srgbClr val="FFC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400"/>
            <a:t>More graphs</a:t>
          </a:r>
        </a:p>
      </xdr:txBody>
    </xdr:sp>
    <xdr:clientData/>
  </xdr:twoCellAnchor>
  <xdr:twoCellAnchor>
    <xdr:from>
      <xdr:col>2</xdr:col>
      <xdr:colOff>180975</xdr:colOff>
      <xdr:row>67</xdr:row>
      <xdr:rowOff>57150</xdr:rowOff>
    </xdr:from>
    <xdr:to>
      <xdr:col>12</xdr:col>
      <xdr:colOff>142875</xdr:colOff>
      <xdr:row>86</xdr:row>
      <xdr:rowOff>133350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arketingstudyguide.com/atar-formula/" TargetMode="External"/><Relationship Id="rId1" Type="http://schemas.openxmlformats.org/officeDocument/2006/relationships/hyperlink" Target="https://www.marketingstudyguide.com/atar-formul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2ADB3-1BF2-4819-8113-D991F996FFDB}">
  <dimension ref="B1:R78"/>
  <sheetViews>
    <sheetView showGridLines="0" tabSelected="1" zoomScale="90" zoomScaleNormal="90" workbookViewId="0">
      <selection activeCell="B2" sqref="B2:F2"/>
    </sheetView>
  </sheetViews>
  <sheetFormatPr defaultRowHeight="21" x14ac:dyDescent="0.35"/>
  <cols>
    <col min="1" max="1" width="3.140625" style="1" customWidth="1"/>
    <col min="2" max="2" width="58.42578125" style="1" bestFit="1" customWidth="1"/>
    <col min="3" max="8" width="23.28515625" style="1" customWidth="1"/>
    <col min="9" max="9" width="13.140625" style="1" customWidth="1"/>
    <col min="10" max="10" width="13.140625" style="103" customWidth="1"/>
    <col min="11" max="11" width="13.85546875" style="103" bestFit="1" customWidth="1"/>
    <col min="12" max="12" width="11.5703125" style="103" bestFit="1" customWidth="1"/>
    <col min="13" max="13" width="20.85546875" style="103" customWidth="1"/>
    <col min="14" max="14" width="9.28515625" style="103" bestFit="1" customWidth="1"/>
    <col min="15" max="15" width="9.5703125" style="103" bestFit="1" customWidth="1"/>
    <col min="16" max="18" width="9.5703125" style="1" bestFit="1" customWidth="1"/>
    <col min="19" max="16384" width="9.140625" style="1"/>
  </cols>
  <sheetData>
    <row r="1" spans="2:17" ht="21.75" thickBot="1" x14ac:dyDescent="0.4"/>
    <row r="2" spans="2:17" ht="29.25" thickBot="1" x14ac:dyDescent="0.5">
      <c r="B2" s="222" t="s">
        <v>77</v>
      </c>
      <c r="C2" s="223"/>
      <c r="D2" s="223"/>
      <c r="E2" s="223"/>
      <c r="F2" s="223"/>
      <c r="G2" s="231" t="s">
        <v>74</v>
      </c>
      <c r="H2" s="232"/>
      <c r="I2" s="2"/>
      <c r="J2" s="102"/>
      <c r="K2" s="102"/>
      <c r="L2" s="102"/>
      <c r="M2" s="102"/>
      <c r="N2" s="102"/>
      <c r="O2" s="102"/>
      <c r="P2" s="2"/>
      <c r="Q2" s="2"/>
    </row>
    <row r="3" spans="2:17" ht="27" thickBot="1" x14ac:dyDescent="0.45">
      <c r="B3" s="241" t="s">
        <v>38</v>
      </c>
      <c r="C3" s="242"/>
      <c r="D3" s="242"/>
      <c r="E3" s="224" t="s">
        <v>72</v>
      </c>
      <c r="F3" s="224"/>
      <c r="G3" s="224"/>
      <c r="H3" s="225"/>
      <c r="I3" s="3"/>
      <c r="P3" s="3"/>
      <c r="Q3" s="3"/>
    </row>
    <row r="4" spans="2:17" ht="21.75" thickBot="1" x14ac:dyDescent="0.4">
      <c r="B4" s="226" t="s">
        <v>79</v>
      </c>
      <c r="C4" s="227"/>
      <c r="D4" s="227"/>
      <c r="E4" s="219" t="s">
        <v>78</v>
      </c>
      <c r="F4" s="219"/>
      <c r="G4" s="219"/>
      <c r="H4" s="220"/>
      <c r="I4" s="3"/>
      <c r="P4" s="3"/>
      <c r="Q4" s="3"/>
    </row>
    <row r="5" spans="2:17" ht="21.75" thickBot="1" x14ac:dyDescent="0.4">
      <c r="B5" s="228" t="s">
        <v>73</v>
      </c>
      <c r="C5" s="229"/>
      <c r="D5" s="229"/>
      <c r="E5" s="229"/>
      <c r="F5" s="229"/>
      <c r="G5" s="229"/>
      <c r="H5" s="230"/>
      <c r="I5" s="3"/>
      <c r="P5" s="3"/>
      <c r="Q5" s="3"/>
    </row>
    <row r="6" spans="2:17" ht="21.75" thickBot="1" x14ac:dyDescent="0.4">
      <c r="K6" s="221" t="s">
        <v>22</v>
      </c>
      <c r="L6" s="221"/>
      <c r="M6" s="221"/>
    </row>
    <row r="7" spans="2:17" ht="21.75" thickBot="1" x14ac:dyDescent="0.4">
      <c r="B7" s="187" t="s">
        <v>71</v>
      </c>
      <c r="C7" s="4" t="s">
        <v>4</v>
      </c>
      <c r="D7" s="5" t="s">
        <v>3</v>
      </c>
      <c r="E7" s="5" t="s">
        <v>5</v>
      </c>
      <c r="F7" s="5" t="s">
        <v>6</v>
      </c>
      <c r="G7" s="5" t="s">
        <v>7</v>
      </c>
      <c r="H7" s="6" t="s">
        <v>8</v>
      </c>
      <c r="I7" s="7"/>
      <c r="J7" s="104"/>
      <c r="K7" s="104"/>
      <c r="L7" s="104"/>
    </row>
    <row r="8" spans="2:17" ht="21.75" thickBot="1" x14ac:dyDescent="0.4">
      <c r="B8" s="8"/>
      <c r="C8" s="9"/>
      <c r="D8" s="10"/>
      <c r="E8" s="10"/>
      <c r="F8" s="10"/>
      <c r="G8" s="10"/>
      <c r="H8" s="11"/>
      <c r="I8" s="10"/>
      <c r="J8" s="105"/>
      <c r="K8" s="105"/>
      <c r="L8" s="215"/>
    </row>
    <row r="9" spans="2:17" x14ac:dyDescent="0.35">
      <c r="B9" s="94" t="s">
        <v>53</v>
      </c>
      <c r="C9" s="14"/>
      <c r="D9" s="188">
        <v>5000000</v>
      </c>
      <c r="E9" s="15">
        <f>+D9*$D10+D9</f>
        <v>5250000</v>
      </c>
      <c r="F9" s="15">
        <f>+E9*$D10+E9</f>
        <v>5512500</v>
      </c>
      <c r="G9" s="15">
        <f>+F9*$D10+F9</f>
        <v>5788125</v>
      </c>
      <c r="H9" s="16">
        <f>+G9*$D10+G9</f>
        <v>6077531.25</v>
      </c>
      <c r="I9" s="17"/>
      <c r="J9" s="106"/>
    </row>
    <row r="10" spans="2:17" ht="21.75" thickBot="1" x14ac:dyDescent="0.4">
      <c r="B10" s="51" t="s">
        <v>16</v>
      </c>
      <c r="C10" s="18"/>
      <c r="D10" s="243">
        <v>0.05</v>
      </c>
      <c r="E10" s="19"/>
      <c r="F10" s="19"/>
      <c r="G10" s="19"/>
      <c r="H10" s="20"/>
      <c r="I10" s="21"/>
      <c r="J10" s="107"/>
    </row>
    <row r="11" spans="2:17" ht="21.75" thickBot="1" x14ac:dyDescent="0.4">
      <c r="B11" s="8"/>
      <c r="C11" s="9"/>
      <c r="D11" s="22"/>
      <c r="E11" s="22"/>
      <c r="F11" s="22"/>
      <c r="G11" s="22"/>
      <c r="H11" s="23"/>
      <c r="I11" s="21"/>
      <c r="J11" s="107"/>
    </row>
    <row r="12" spans="2:17" ht="21.75" thickBot="1" x14ac:dyDescent="0.4">
      <c r="B12" s="95" t="s">
        <v>48</v>
      </c>
      <c r="C12" s="9"/>
      <c r="D12" s="22"/>
      <c r="E12" s="22"/>
      <c r="F12" s="22"/>
      <c r="G12" s="22"/>
      <c r="H12" s="23"/>
      <c r="I12" s="21"/>
      <c r="J12" s="107"/>
    </row>
    <row r="13" spans="2:17" x14ac:dyDescent="0.35">
      <c r="B13" s="13" t="s">
        <v>0</v>
      </c>
      <c r="C13" s="24"/>
      <c r="D13" s="189">
        <v>0.1</v>
      </c>
      <c r="E13" s="189">
        <v>0.15</v>
      </c>
      <c r="F13" s="189">
        <v>0.25</v>
      </c>
      <c r="G13" s="189">
        <v>0.35</v>
      </c>
      <c r="H13" s="190">
        <v>0.4</v>
      </c>
      <c r="I13" s="25"/>
      <c r="J13" s="108"/>
      <c r="K13" s="114">
        <f>AVERAGE(D13:H13)</f>
        <v>0.25</v>
      </c>
      <c r="L13" s="115" t="s">
        <v>30</v>
      </c>
    </row>
    <row r="14" spans="2:17" x14ac:dyDescent="0.35">
      <c r="B14" s="26" t="s">
        <v>9</v>
      </c>
      <c r="C14" s="9"/>
      <c r="D14" s="191">
        <v>0.2</v>
      </c>
      <c r="E14" s="191">
        <v>0.15</v>
      </c>
      <c r="F14" s="191">
        <v>0.1</v>
      </c>
      <c r="G14" s="191">
        <v>0.05</v>
      </c>
      <c r="H14" s="192">
        <v>0.05</v>
      </c>
      <c r="I14" s="25"/>
      <c r="J14" s="108"/>
      <c r="K14" s="114">
        <f t="shared" ref="K14:K16" si="0">AVERAGE(D14:H14)</f>
        <v>0.10999999999999999</v>
      </c>
      <c r="L14" s="115" t="s">
        <v>30</v>
      </c>
    </row>
    <row r="15" spans="2:17" x14ac:dyDescent="0.35">
      <c r="B15" s="26" t="s">
        <v>68</v>
      </c>
      <c r="C15" s="9"/>
      <c r="D15" s="193">
        <v>0.1</v>
      </c>
      <c r="E15" s="193">
        <v>0.15</v>
      </c>
      <c r="F15" s="193">
        <v>0.2</v>
      </c>
      <c r="G15" s="193">
        <v>0.25</v>
      </c>
      <c r="H15" s="194">
        <v>0.25</v>
      </c>
      <c r="I15" s="27"/>
      <c r="J15" s="109"/>
      <c r="K15" s="114">
        <f t="shared" si="0"/>
        <v>0.19</v>
      </c>
      <c r="L15" s="115" t="s">
        <v>30</v>
      </c>
    </row>
    <row r="16" spans="2:17" ht="21.75" thickBot="1" x14ac:dyDescent="0.4">
      <c r="B16" s="28" t="s">
        <v>2</v>
      </c>
      <c r="C16" s="18"/>
      <c r="D16" s="195">
        <v>0.4</v>
      </c>
      <c r="E16" s="195">
        <v>0.42</v>
      </c>
      <c r="F16" s="195">
        <v>0.44</v>
      </c>
      <c r="G16" s="195">
        <v>0.46</v>
      </c>
      <c r="H16" s="196">
        <v>0.48</v>
      </c>
      <c r="I16" s="27"/>
      <c r="J16" s="109"/>
      <c r="K16" s="114">
        <f t="shared" si="0"/>
        <v>0.44000000000000006</v>
      </c>
      <c r="L16" s="115" t="s">
        <v>30</v>
      </c>
    </row>
    <row r="17" spans="2:18" ht="21.75" thickBot="1" x14ac:dyDescent="0.4">
      <c r="B17" s="95" t="s">
        <v>60</v>
      </c>
      <c r="C17" s="24"/>
      <c r="D17" s="29"/>
      <c r="E17" s="29"/>
      <c r="F17" s="29"/>
      <c r="G17" s="29"/>
      <c r="H17" s="30"/>
      <c r="I17" s="12"/>
      <c r="J17" s="105"/>
      <c r="R17" s="31"/>
    </row>
    <row r="18" spans="2:18" x14ac:dyDescent="0.35">
      <c r="B18" s="13" t="s">
        <v>19</v>
      </c>
      <c r="C18" s="24"/>
      <c r="D18" s="32">
        <f>+D15*D14*D13*D9</f>
        <v>10000.000000000002</v>
      </c>
      <c r="E18" s="32">
        <f t="shared" ref="E18:H18" si="1">+E15*E14*E13*E9</f>
        <v>17718.75</v>
      </c>
      <c r="F18" s="32">
        <f t="shared" si="1"/>
        <v>27562.500000000004</v>
      </c>
      <c r="G18" s="32">
        <f t="shared" si="1"/>
        <v>25323.046874999996</v>
      </c>
      <c r="H18" s="33">
        <f t="shared" si="1"/>
        <v>30387.656250000007</v>
      </c>
      <c r="I18" s="34"/>
      <c r="J18" s="110"/>
      <c r="K18" s="116">
        <f>SUM(D18:H18)</f>
        <v>110991.953125</v>
      </c>
      <c r="L18" s="115" t="s">
        <v>23</v>
      </c>
      <c r="R18" s="35"/>
    </row>
    <row r="19" spans="2:18" x14ac:dyDescent="0.35">
      <c r="B19" s="26" t="s">
        <v>17</v>
      </c>
      <c r="C19" s="9"/>
      <c r="D19" s="36">
        <f>+D18*D16</f>
        <v>4000.0000000000009</v>
      </c>
      <c r="E19" s="36">
        <f t="shared" ref="E19:H19" si="2">+E18*E16</f>
        <v>7441.875</v>
      </c>
      <c r="F19" s="36">
        <f t="shared" si="2"/>
        <v>12127.500000000002</v>
      </c>
      <c r="G19" s="36">
        <f t="shared" si="2"/>
        <v>11648.601562499998</v>
      </c>
      <c r="H19" s="37">
        <f t="shared" si="2"/>
        <v>14586.075000000003</v>
      </c>
      <c r="I19" s="34"/>
      <c r="J19" s="110"/>
      <c r="K19" s="117">
        <f>+K18/H9</f>
        <v>1.826267090358441E-2</v>
      </c>
      <c r="L19" s="115" t="s">
        <v>21</v>
      </c>
      <c r="N19" s="116"/>
      <c r="O19" s="116"/>
      <c r="P19" s="31"/>
      <c r="Q19" s="31"/>
      <c r="R19" s="35"/>
    </row>
    <row r="20" spans="2:18" x14ac:dyDescent="0.35">
      <c r="B20" s="26" t="s">
        <v>12</v>
      </c>
      <c r="C20" s="9"/>
      <c r="D20" s="27"/>
      <c r="E20" s="193">
        <v>0.8</v>
      </c>
      <c r="F20" s="193">
        <v>0.75</v>
      </c>
      <c r="G20" s="193">
        <v>0.7</v>
      </c>
      <c r="H20" s="194">
        <v>0.65</v>
      </c>
      <c r="I20" s="27"/>
      <c r="J20" s="109"/>
      <c r="K20" s="114">
        <f t="shared" ref="K20" si="3">AVERAGE(D20:H20)</f>
        <v>0.72499999999999998</v>
      </c>
      <c r="L20" s="115" t="s">
        <v>30</v>
      </c>
      <c r="N20" s="118"/>
      <c r="O20" s="118"/>
      <c r="P20" s="35"/>
      <c r="Q20" s="35"/>
    </row>
    <row r="21" spans="2:18" x14ac:dyDescent="0.35">
      <c r="B21" s="26" t="s">
        <v>54</v>
      </c>
      <c r="C21" s="9"/>
      <c r="D21" s="36">
        <f>+D19</f>
        <v>4000.0000000000009</v>
      </c>
      <c r="E21" s="36">
        <f>+D21*E20+E19</f>
        <v>10641.875</v>
      </c>
      <c r="F21" s="36">
        <f t="shared" ref="F21:H21" si="4">+E21*F20+F19</f>
        <v>20108.90625</v>
      </c>
      <c r="G21" s="36">
        <f t="shared" si="4"/>
        <v>25724.8359375</v>
      </c>
      <c r="H21" s="37">
        <f t="shared" si="4"/>
        <v>31307.218359375001</v>
      </c>
      <c r="I21" s="34"/>
      <c r="J21" s="110"/>
      <c r="K21" s="119">
        <f>+H21</f>
        <v>31307.218359375001</v>
      </c>
      <c r="L21" s="115" t="s">
        <v>24</v>
      </c>
      <c r="N21" s="116"/>
      <c r="O21" s="118"/>
      <c r="P21" s="35"/>
      <c r="Q21" s="35"/>
    </row>
    <row r="22" spans="2:18" x14ac:dyDescent="0.35">
      <c r="B22" s="26" t="s">
        <v>61</v>
      </c>
      <c r="C22" s="9"/>
      <c r="D22" s="132">
        <f>+D21/D9</f>
        <v>8.0000000000000015E-4</v>
      </c>
      <c r="E22" s="133">
        <f t="shared" ref="E22:H22" si="5">+E21/E9</f>
        <v>2.0270238095238097E-3</v>
      </c>
      <c r="F22" s="133">
        <f t="shared" si="5"/>
        <v>3.6478741496598641E-3</v>
      </c>
      <c r="G22" s="133">
        <f t="shared" si="5"/>
        <v>4.4444160997732423E-3</v>
      </c>
      <c r="H22" s="134">
        <f t="shared" si="5"/>
        <v>5.1513052046215316E-3</v>
      </c>
      <c r="I22" s="34"/>
      <c r="J22" s="110"/>
      <c r="K22" s="117">
        <f>+K21/H9</f>
        <v>5.1513052046215316E-3</v>
      </c>
      <c r="L22" s="115" t="s">
        <v>33</v>
      </c>
    </row>
    <row r="23" spans="2:18" x14ac:dyDescent="0.35">
      <c r="B23" s="26" t="s">
        <v>10</v>
      </c>
      <c r="C23" s="9"/>
      <c r="D23" s="38">
        <f>+D18-D19</f>
        <v>6000.0000000000009</v>
      </c>
      <c r="E23" s="38">
        <f t="shared" ref="E23:H23" si="6">+E18-E19</f>
        <v>10276.875</v>
      </c>
      <c r="F23" s="38">
        <f t="shared" si="6"/>
        <v>15435.000000000002</v>
      </c>
      <c r="G23" s="38">
        <f t="shared" si="6"/>
        <v>13674.445312499998</v>
      </c>
      <c r="H23" s="39">
        <f t="shared" si="6"/>
        <v>15801.581250000005</v>
      </c>
      <c r="I23" s="17"/>
      <c r="J23" s="106"/>
    </row>
    <row r="24" spans="2:18" x14ac:dyDescent="0.35">
      <c r="B24" s="26" t="s">
        <v>11</v>
      </c>
      <c r="C24" s="9"/>
      <c r="D24" s="40">
        <f>+D28*D21</f>
        <v>80000.000000000015</v>
      </c>
      <c r="E24" s="40">
        <f t="shared" ref="E24:H24" si="7">+E28*E21</f>
        <v>234121.25</v>
      </c>
      <c r="F24" s="40">
        <f t="shared" si="7"/>
        <v>482613.75</v>
      </c>
      <c r="G24" s="40">
        <f t="shared" si="7"/>
        <v>668845.734375</v>
      </c>
      <c r="H24" s="41">
        <f t="shared" si="7"/>
        <v>876602.11406250007</v>
      </c>
      <c r="I24" s="42"/>
      <c r="J24" s="111"/>
    </row>
    <row r="25" spans="2:18" ht="21.75" thickBot="1" x14ac:dyDescent="0.4">
      <c r="B25" s="28" t="s">
        <v>13</v>
      </c>
      <c r="C25" s="18"/>
      <c r="D25" s="43">
        <f>+D24+D23</f>
        <v>86000.000000000015</v>
      </c>
      <c r="E25" s="43">
        <f t="shared" ref="E25:H25" si="8">+E24+E23</f>
        <v>244398.125</v>
      </c>
      <c r="F25" s="43">
        <f t="shared" si="8"/>
        <v>498048.75</v>
      </c>
      <c r="G25" s="43">
        <f t="shared" si="8"/>
        <v>682520.1796875</v>
      </c>
      <c r="H25" s="44">
        <f t="shared" si="8"/>
        <v>892403.69531250012</v>
      </c>
      <c r="I25" s="45"/>
      <c r="J25" s="110"/>
      <c r="K25" s="120">
        <f>SUM(D25:H25)</f>
        <v>2403370.75</v>
      </c>
      <c r="L25" s="115" t="s">
        <v>25</v>
      </c>
    </row>
    <row r="26" spans="2:18" ht="21.75" thickBot="1" x14ac:dyDescent="0.4">
      <c r="B26" s="26"/>
      <c r="C26" s="9"/>
      <c r="D26" s="10"/>
      <c r="E26" s="10"/>
      <c r="F26" s="10"/>
      <c r="G26" s="10"/>
      <c r="H26" s="11"/>
      <c r="I26" s="12"/>
      <c r="J26" s="105"/>
    </row>
    <row r="27" spans="2:18" ht="21.75" thickBot="1" x14ac:dyDescent="0.4">
      <c r="B27" s="95" t="s">
        <v>49</v>
      </c>
      <c r="C27" s="9"/>
      <c r="D27" s="10"/>
      <c r="E27" s="10"/>
      <c r="F27" s="10"/>
      <c r="G27" s="10"/>
      <c r="H27" s="11"/>
      <c r="I27" s="12"/>
      <c r="J27" s="105"/>
    </row>
    <row r="28" spans="2:18" x14ac:dyDescent="0.35">
      <c r="B28" s="83" t="s">
        <v>18</v>
      </c>
      <c r="C28" s="24"/>
      <c r="D28" s="197">
        <v>20</v>
      </c>
      <c r="E28" s="198">
        <v>22</v>
      </c>
      <c r="F28" s="198">
        <v>24</v>
      </c>
      <c r="G28" s="198">
        <v>26</v>
      </c>
      <c r="H28" s="199">
        <v>28</v>
      </c>
      <c r="I28" s="12"/>
      <c r="J28" s="105"/>
    </row>
    <row r="29" spans="2:18" ht="38.25" x14ac:dyDescent="0.35">
      <c r="B29" s="90" t="s">
        <v>50</v>
      </c>
      <c r="C29" s="9"/>
      <c r="D29" s="200">
        <v>5</v>
      </c>
      <c r="E29" s="201">
        <v>6</v>
      </c>
      <c r="F29" s="201">
        <v>6.2</v>
      </c>
      <c r="G29" s="201">
        <v>6.5</v>
      </c>
      <c r="H29" s="202">
        <v>7</v>
      </c>
      <c r="I29" s="46"/>
      <c r="J29" s="112"/>
    </row>
    <row r="30" spans="2:18" x14ac:dyDescent="0.35">
      <c r="B30" s="84" t="s">
        <v>45</v>
      </c>
      <c r="C30" s="9"/>
      <c r="D30" s="203">
        <v>3</v>
      </c>
      <c r="E30" s="204">
        <v>3.05</v>
      </c>
      <c r="F30" s="204">
        <v>3.1</v>
      </c>
      <c r="G30" s="204">
        <v>3.15</v>
      </c>
      <c r="H30" s="205">
        <v>3.2</v>
      </c>
      <c r="I30" s="46"/>
      <c r="J30" s="112"/>
    </row>
    <row r="31" spans="2:18" x14ac:dyDescent="0.35">
      <c r="B31" s="84" t="s">
        <v>47</v>
      </c>
      <c r="C31" s="9"/>
      <c r="D31" s="86">
        <f>+D29-D30</f>
        <v>2</v>
      </c>
      <c r="E31" s="81">
        <f t="shared" ref="E31:H31" si="9">+E29-E30</f>
        <v>2.95</v>
      </c>
      <c r="F31" s="81">
        <f t="shared" si="9"/>
        <v>3.1</v>
      </c>
      <c r="G31" s="81">
        <f t="shared" si="9"/>
        <v>3.35</v>
      </c>
      <c r="H31" s="82">
        <f t="shared" si="9"/>
        <v>3.8</v>
      </c>
      <c r="I31" s="46"/>
      <c r="J31" s="112"/>
    </row>
    <row r="32" spans="2:18" x14ac:dyDescent="0.35">
      <c r="B32" s="84" t="s">
        <v>46</v>
      </c>
      <c r="C32" s="9"/>
      <c r="D32" s="96">
        <f>+D31/D29</f>
        <v>0.4</v>
      </c>
      <c r="E32" s="97">
        <f t="shared" ref="E32:H32" si="10">+E31/E29</f>
        <v>0.4916666666666667</v>
      </c>
      <c r="F32" s="97">
        <f t="shared" si="10"/>
        <v>0.5</v>
      </c>
      <c r="G32" s="97">
        <f t="shared" si="10"/>
        <v>0.51538461538461544</v>
      </c>
      <c r="H32" s="98">
        <f t="shared" si="10"/>
        <v>0.54285714285714282</v>
      </c>
      <c r="I32" s="46"/>
      <c r="J32" s="112"/>
    </row>
    <row r="33" spans="2:12" ht="21.75" thickBot="1" x14ac:dyDescent="0.4">
      <c r="B33" s="85"/>
      <c r="C33" s="18"/>
      <c r="D33" s="87"/>
      <c r="E33" s="88"/>
      <c r="F33" s="88"/>
      <c r="G33" s="88"/>
      <c r="H33" s="89"/>
      <c r="I33" s="47"/>
      <c r="J33" s="113"/>
    </row>
    <row r="34" spans="2:12" x14ac:dyDescent="0.35">
      <c r="B34" s="13" t="s">
        <v>51</v>
      </c>
      <c r="C34" s="24"/>
      <c r="D34" s="48">
        <f>+D29*D25</f>
        <v>430000.00000000006</v>
      </c>
      <c r="E34" s="48">
        <f t="shared" ref="E34:H34" si="11">+E29*E25</f>
        <v>1466388.75</v>
      </c>
      <c r="F34" s="48">
        <f t="shared" si="11"/>
        <v>3087902.25</v>
      </c>
      <c r="G34" s="48">
        <f t="shared" si="11"/>
        <v>4436381.16796875</v>
      </c>
      <c r="H34" s="49">
        <f t="shared" si="11"/>
        <v>6246825.8671875009</v>
      </c>
      <c r="I34" s="45"/>
      <c r="J34" s="110"/>
      <c r="K34" s="120">
        <f>SUM(D34:H34)</f>
        <v>15667498.03515625</v>
      </c>
      <c r="L34" s="115" t="s">
        <v>26</v>
      </c>
    </row>
    <row r="35" spans="2:12" ht="21.75" thickBot="1" x14ac:dyDescent="0.4">
      <c r="B35" s="28" t="s">
        <v>14</v>
      </c>
      <c r="C35" s="18"/>
      <c r="D35" s="43">
        <f>+D31*D25</f>
        <v>172000.00000000003</v>
      </c>
      <c r="E35" s="43">
        <f t="shared" ref="E35:H35" si="12">+E31*E25</f>
        <v>720974.46875</v>
      </c>
      <c r="F35" s="43">
        <f t="shared" si="12"/>
        <v>1543951.125</v>
      </c>
      <c r="G35" s="43">
        <f t="shared" si="12"/>
        <v>2286442.6019531251</v>
      </c>
      <c r="H35" s="44">
        <f t="shared" si="12"/>
        <v>3391134.0421875003</v>
      </c>
      <c r="I35" s="45"/>
      <c r="J35" s="110"/>
      <c r="K35" s="120">
        <f>SUM(D35:H35)</f>
        <v>8114502.2378906254</v>
      </c>
      <c r="L35" s="115" t="s">
        <v>27</v>
      </c>
    </row>
    <row r="36" spans="2:12" ht="21.75" thickBot="1" x14ac:dyDescent="0.4">
      <c r="B36" s="26"/>
      <c r="C36" s="9"/>
      <c r="D36" s="10"/>
      <c r="E36" s="10"/>
      <c r="F36" s="10"/>
      <c r="G36" s="10"/>
      <c r="H36" s="11"/>
      <c r="I36" s="12"/>
      <c r="J36" s="105"/>
      <c r="K36" s="121">
        <f>+K35/K34</f>
        <v>0.51791946740203954</v>
      </c>
      <c r="L36" s="115" t="s">
        <v>20</v>
      </c>
    </row>
    <row r="37" spans="2:12" x14ac:dyDescent="0.35">
      <c r="B37" s="13" t="s">
        <v>52</v>
      </c>
      <c r="C37" s="206">
        <v>1000000</v>
      </c>
      <c r="D37" s="207"/>
      <c r="E37" s="207"/>
      <c r="F37" s="207"/>
      <c r="G37" s="207"/>
      <c r="H37" s="208"/>
      <c r="I37" s="12"/>
      <c r="J37" s="105"/>
    </row>
    <row r="38" spans="2:12" ht="21.75" thickBot="1" x14ac:dyDescent="0.4">
      <c r="B38" s="28" t="s">
        <v>15</v>
      </c>
      <c r="C38" s="209"/>
      <c r="D38" s="210">
        <v>250000</v>
      </c>
      <c r="E38" s="210">
        <v>150000</v>
      </c>
      <c r="F38" s="210">
        <v>150000</v>
      </c>
      <c r="G38" s="210">
        <v>200000</v>
      </c>
      <c r="H38" s="211">
        <v>250000</v>
      </c>
      <c r="I38" s="34"/>
      <c r="J38" s="110"/>
      <c r="K38" s="120">
        <f>SUM(D38:H38)</f>
        <v>1000000</v>
      </c>
      <c r="L38" s="115" t="s">
        <v>28</v>
      </c>
    </row>
    <row r="39" spans="2:12" ht="21.75" thickBot="1" x14ac:dyDescent="0.4">
      <c r="B39" s="8"/>
      <c r="C39" s="9"/>
      <c r="D39" s="10"/>
      <c r="E39" s="10"/>
      <c r="F39" s="10"/>
      <c r="G39" s="10"/>
      <c r="H39" s="11"/>
      <c r="I39" s="12"/>
      <c r="J39" s="105"/>
      <c r="K39" s="122">
        <f>+K38/K34</f>
        <v>6.3826400217578017E-2</v>
      </c>
      <c r="L39" s="115" t="s">
        <v>29</v>
      </c>
    </row>
    <row r="40" spans="2:12" x14ac:dyDescent="0.35">
      <c r="B40" s="94" t="s">
        <v>55</v>
      </c>
      <c r="C40" s="50">
        <f>-C37</f>
        <v>-1000000</v>
      </c>
      <c r="D40" s="48">
        <f t="shared" ref="D40:H40" si="13">+D35-D37-D38</f>
        <v>-77999.999999999971</v>
      </c>
      <c r="E40" s="48">
        <f t="shared" si="13"/>
        <v>570974.46875</v>
      </c>
      <c r="F40" s="48">
        <f t="shared" si="13"/>
        <v>1393951.125</v>
      </c>
      <c r="G40" s="48">
        <f t="shared" si="13"/>
        <v>2086442.6019531251</v>
      </c>
      <c r="H40" s="49">
        <f t="shared" si="13"/>
        <v>3141134.0421875003</v>
      </c>
      <c r="I40" s="45"/>
      <c r="J40" s="110"/>
      <c r="K40" s="122">
        <f>+H40/H34</f>
        <v>0.5028368180849786</v>
      </c>
      <c r="L40" s="115" t="s">
        <v>32</v>
      </c>
    </row>
    <row r="41" spans="2:12" ht="21.75" thickBot="1" x14ac:dyDescent="0.4">
      <c r="B41" s="123" t="s">
        <v>56</v>
      </c>
      <c r="C41" s="52">
        <f>+C40</f>
        <v>-1000000</v>
      </c>
      <c r="D41" s="53">
        <f>+D40+C41</f>
        <v>-1078000</v>
      </c>
      <c r="E41" s="53">
        <f>+D41+E40</f>
        <v>-507025.53125</v>
      </c>
      <c r="F41" s="53">
        <f t="shared" ref="F41:H41" si="14">+E41+F40</f>
        <v>886925.59375</v>
      </c>
      <c r="G41" s="53">
        <f t="shared" si="14"/>
        <v>2973368.1957031251</v>
      </c>
      <c r="H41" s="44">
        <f t="shared" si="14"/>
        <v>6114502.2378906254</v>
      </c>
      <c r="I41" s="45"/>
      <c r="J41" s="110"/>
      <c r="K41" s="105">
        <f>IF(MIN(D78:H78)=10,"Over 5 yrs",MIN(D78:H78))</f>
        <v>3</v>
      </c>
      <c r="L41" s="115" t="s">
        <v>31</v>
      </c>
    </row>
    <row r="42" spans="2:12" ht="21.75" thickBot="1" x14ac:dyDescent="0.4">
      <c r="I42" s="54"/>
    </row>
    <row r="43" spans="2:12" ht="21.75" thickBot="1" x14ac:dyDescent="0.4">
      <c r="B43" s="95" t="s">
        <v>44</v>
      </c>
      <c r="C43" s="244" t="s">
        <v>80</v>
      </c>
      <c r="D43" s="56"/>
      <c r="E43" s="55"/>
      <c r="F43" s="55"/>
      <c r="G43" s="55"/>
      <c r="H43" s="57"/>
      <c r="I43" s="3"/>
    </row>
    <row r="44" spans="2:12" x14ac:dyDescent="0.35">
      <c r="B44" s="91" t="s">
        <v>82</v>
      </c>
      <c r="C44" s="245"/>
      <c r="D44" s="212">
        <v>0.2</v>
      </c>
      <c r="E44" s="58"/>
      <c r="F44" s="58"/>
      <c r="G44" s="58"/>
      <c r="H44" s="59"/>
      <c r="I44" s="3"/>
    </row>
    <row r="45" spans="2:12" ht="21.75" thickBot="1" x14ac:dyDescent="0.4">
      <c r="B45" s="92" t="s">
        <v>83</v>
      </c>
      <c r="C45" s="246"/>
      <c r="D45" s="213">
        <v>3.25</v>
      </c>
      <c r="E45" s="60"/>
      <c r="F45" s="60"/>
      <c r="G45" s="60"/>
      <c r="H45" s="61"/>
      <c r="I45" s="3"/>
    </row>
    <row r="46" spans="2:12" ht="21.75" thickBot="1" x14ac:dyDescent="0.4">
      <c r="B46" s="91"/>
      <c r="C46" s="58"/>
      <c r="D46" s="8"/>
      <c r="E46" s="58"/>
      <c r="F46" s="58"/>
      <c r="G46" s="58"/>
      <c r="H46" s="59"/>
      <c r="I46" s="3"/>
    </row>
    <row r="47" spans="2:12" x14ac:dyDescent="0.35">
      <c r="B47" s="93" t="s">
        <v>81</v>
      </c>
      <c r="C47" s="55"/>
      <c r="D47" s="62">
        <f>+$D$44*D25</f>
        <v>17200.000000000004</v>
      </c>
      <c r="E47" s="63">
        <f t="shared" ref="E47:H47" si="15">+$D$44*E25</f>
        <v>48879.625</v>
      </c>
      <c r="F47" s="63">
        <f t="shared" si="15"/>
        <v>99609.75</v>
      </c>
      <c r="G47" s="63">
        <f t="shared" si="15"/>
        <v>136504.03593750001</v>
      </c>
      <c r="H47" s="64">
        <f t="shared" si="15"/>
        <v>178480.73906250004</v>
      </c>
      <c r="I47" s="65"/>
    </row>
    <row r="48" spans="2:12" ht="21.75" thickBot="1" x14ac:dyDescent="0.4">
      <c r="B48" s="92" t="s">
        <v>84</v>
      </c>
      <c r="C48" s="60"/>
      <c r="D48" s="66">
        <f>+$D$45*D47</f>
        <v>55900.000000000015</v>
      </c>
      <c r="E48" s="67">
        <f t="shared" ref="E48:H48" si="16">+$D$45*E47</f>
        <v>158858.78125</v>
      </c>
      <c r="F48" s="67">
        <f t="shared" si="16"/>
        <v>323731.6875</v>
      </c>
      <c r="G48" s="67">
        <f t="shared" si="16"/>
        <v>443638.11679687502</v>
      </c>
      <c r="H48" s="68">
        <f t="shared" si="16"/>
        <v>580062.40195312514</v>
      </c>
      <c r="I48" s="65"/>
    </row>
    <row r="49" spans="2:9" ht="21.75" thickBot="1" x14ac:dyDescent="0.4">
      <c r="B49" s="91"/>
      <c r="C49" s="58"/>
      <c r="D49" s="8"/>
      <c r="E49" s="58"/>
      <c r="F49" s="58"/>
      <c r="G49" s="58"/>
      <c r="H49" s="59"/>
      <c r="I49" s="3"/>
    </row>
    <row r="50" spans="2:9" x14ac:dyDescent="0.35">
      <c r="B50" s="124" t="s">
        <v>57</v>
      </c>
      <c r="C50" s="125">
        <f>+C40-C48</f>
        <v>-1000000</v>
      </c>
      <c r="D50" s="126">
        <f t="shared" ref="D50:H50" si="17">+D40-D48</f>
        <v>-133900</v>
      </c>
      <c r="E50" s="127">
        <f t="shared" si="17"/>
        <v>412115.6875</v>
      </c>
      <c r="F50" s="127">
        <f t="shared" si="17"/>
        <v>1070219.4375</v>
      </c>
      <c r="G50" s="127">
        <f t="shared" si="17"/>
        <v>1642804.4851562502</v>
      </c>
      <c r="H50" s="125">
        <f t="shared" si="17"/>
        <v>2561071.6402343754</v>
      </c>
      <c r="I50" s="69"/>
    </row>
    <row r="51" spans="2:9" ht="21.75" thickBot="1" x14ac:dyDescent="0.4">
      <c r="B51" s="128" t="s">
        <v>58</v>
      </c>
      <c r="C51" s="129">
        <f>+C50</f>
        <v>-1000000</v>
      </c>
      <c r="D51" s="130">
        <f>+D50+C51</f>
        <v>-1133900</v>
      </c>
      <c r="E51" s="131">
        <f t="shared" ref="E51:H51" si="18">+E50+D51</f>
        <v>-721784.3125</v>
      </c>
      <c r="F51" s="131">
        <f t="shared" si="18"/>
        <v>348435.125</v>
      </c>
      <c r="G51" s="131">
        <f t="shared" si="18"/>
        <v>1991239.6101562502</v>
      </c>
      <c r="H51" s="129">
        <f t="shared" si="18"/>
        <v>4552311.2503906256</v>
      </c>
      <c r="I51" s="69"/>
    </row>
    <row r="53" spans="2:9" ht="21.75" thickBot="1" x14ac:dyDescent="0.4"/>
    <row r="54" spans="2:9" ht="24" thickBot="1" x14ac:dyDescent="0.4">
      <c r="B54" s="216" t="s">
        <v>39</v>
      </c>
      <c r="C54" s="217"/>
      <c r="D54" s="218"/>
      <c r="E54" s="70"/>
    </row>
    <row r="55" spans="2:9" x14ac:dyDescent="0.35">
      <c r="B55" s="71" t="s">
        <v>34</v>
      </c>
      <c r="C55" s="99" t="s">
        <v>40</v>
      </c>
      <c r="D55" s="72">
        <f>NPV(C60,D50:H50)+C50</f>
        <v>2735217.4673511796</v>
      </c>
      <c r="E55" s="100"/>
    </row>
    <row r="56" spans="2:9" x14ac:dyDescent="0.35">
      <c r="B56" s="71" t="s">
        <v>35</v>
      </c>
      <c r="C56" s="99" t="s">
        <v>41</v>
      </c>
      <c r="D56" s="73">
        <f>IRR(C50:H50)</f>
        <v>0.52710362243297459</v>
      </c>
      <c r="E56" s="74"/>
    </row>
    <row r="57" spans="2:9" x14ac:dyDescent="0.35">
      <c r="B57" s="71" t="s">
        <v>36</v>
      </c>
      <c r="C57" s="99" t="s">
        <v>42</v>
      </c>
      <c r="D57" s="75">
        <f>+H51/-C50</f>
        <v>4.5523112503906251</v>
      </c>
      <c r="E57" s="74"/>
    </row>
    <row r="58" spans="2:9" x14ac:dyDescent="0.35">
      <c r="B58" s="71" t="s">
        <v>37</v>
      </c>
      <c r="C58" s="99" t="s">
        <v>43</v>
      </c>
      <c r="D58" s="76">
        <f>SUM(C50:H50)</f>
        <v>4552311.2503906256</v>
      </c>
      <c r="E58" s="74"/>
    </row>
    <row r="59" spans="2:9" ht="21.75" thickBot="1" x14ac:dyDescent="0.4">
      <c r="B59" s="77" t="s">
        <v>31</v>
      </c>
      <c r="C59" s="78"/>
      <c r="D59" s="79">
        <f>+K41</f>
        <v>3</v>
      </c>
      <c r="E59" s="74"/>
    </row>
    <row r="60" spans="2:9" ht="21.75" thickBot="1" x14ac:dyDescent="0.4">
      <c r="B60" s="80" t="s">
        <v>59</v>
      </c>
      <c r="C60" s="214">
        <v>0.1</v>
      </c>
      <c r="F60" s="35"/>
      <c r="G60" s="35"/>
      <c r="H60" s="35"/>
      <c r="I60" s="31"/>
    </row>
    <row r="76" spans="4:15" hidden="1" x14ac:dyDescent="0.35"/>
    <row r="78" spans="4:15" s="101" customFormat="1" x14ac:dyDescent="0.35">
      <c r="D78" s="101">
        <f>IF(D51&gt;0,1,10)</f>
        <v>10</v>
      </c>
      <c r="E78" s="101">
        <f>IF(E51&gt;0,2,10)</f>
        <v>10</v>
      </c>
      <c r="F78" s="101">
        <f>IF(F51&gt;0,3,10)</f>
        <v>3</v>
      </c>
      <c r="G78" s="101">
        <f>IF(G51&gt;0,4,10)</f>
        <v>4</v>
      </c>
      <c r="H78" s="101">
        <f>IF(H51&gt;0,5,10)</f>
        <v>5</v>
      </c>
      <c r="J78" s="103"/>
      <c r="K78" s="103"/>
      <c r="L78" s="103"/>
      <c r="M78" s="103"/>
      <c r="N78" s="103"/>
      <c r="O78" s="103"/>
    </row>
  </sheetData>
  <sheetProtection algorithmName="SHA-512" hashValue="ydKfh4Kq/aT2LKZWXSWFg0mxi9Ic1NnMedPlyXzvWpcZFn35YjpuXj8uI/NQZYpbIYbrclNl1HK6HKYczAXU9w==" saltValue="f7BVOkCof7+nY5KKCWUGkg==" spinCount="100000" sheet="1" objects="1" scenarios="1"/>
  <mergeCells count="10">
    <mergeCell ref="G2:H2"/>
    <mergeCell ref="C43:C45"/>
    <mergeCell ref="B3:D3"/>
    <mergeCell ref="E3:H3"/>
    <mergeCell ref="K6:M6"/>
    <mergeCell ref="B54:D54"/>
    <mergeCell ref="B5:H5"/>
    <mergeCell ref="B4:D4"/>
    <mergeCell ref="E4:H4"/>
    <mergeCell ref="B2:F2"/>
  </mergeCells>
  <dataValidations count="1">
    <dataValidation type="decimal" allowBlank="1" showErrorMessage="1" error="Needs to be in the range of 0% to 100%_x000a_Try entering as a decimal" prompt="Enter as a decimal (to make a percentage)" sqref="D13:H16" xr:uid="{99CD1D97-4C47-478C-AB97-310192E48B3C}">
      <formula1>0</formula1>
      <formula2>1</formula2>
    </dataValidation>
  </dataValidations>
  <hyperlinks>
    <hyperlink ref="E3" r:id="rId1" display="https://www.marketingstudyguide.com/atar-formula/" xr:uid="{15A61299-5D05-41EA-A2E9-7B0BD27FFC3E}"/>
    <hyperlink ref="E3:H3" r:id="rId2" display="marketingstudyguide.com/atar-formula/" xr:uid="{E1F85ABD-8627-429C-84C5-EC66F49B19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88211-8F5C-4390-899D-CCC2C3734B1C}">
  <dimension ref="B1:H41"/>
  <sheetViews>
    <sheetView zoomScale="90" zoomScaleNormal="90" workbookViewId="0">
      <selection activeCell="B2" sqref="B2:H2"/>
    </sheetView>
  </sheetViews>
  <sheetFormatPr defaultRowHeight="15" x14ac:dyDescent="0.25"/>
  <cols>
    <col min="1" max="1" width="4.28515625" customWidth="1"/>
    <col min="2" max="2" width="58.42578125" bestFit="1" customWidth="1"/>
    <col min="3" max="3" width="22.85546875" customWidth="1"/>
    <col min="4" max="8" width="24.28515625" customWidth="1"/>
  </cols>
  <sheetData>
    <row r="1" spans="2:8" ht="15.75" thickBot="1" x14ac:dyDescent="0.3"/>
    <row r="2" spans="2:8" ht="36.75" customHeight="1" thickBot="1" x14ac:dyDescent="0.3">
      <c r="B2" s="237" t="s">
        <v>69</v>
      </c>
      <c r="C2" s="238"/>
      <c r="D2" s="238"/>
      <c r="E2" s="238"/>
      <c r="F2" s="238"/>
      <c r="G2" s="238"/>
      <c r="H2" s="239"/>
    </row>
    <row r="3" spans="2:8" ht="21.75" thickBot="1" x14ac:dyDescent="0.4">
      <c r="B3" s="175" t="s">
        <v>76</v>
      </c>
      <c r="C3" s="247" t="s">
        <v>4</v>
      </c>
      <c r="D3" s="248" t="s">
        <v>3</v>
      </c>
      <c r="E3" s="248" t="s">
        <v>5</v>
      </c>
      <c r="F3" s="248" t="s">
        <v>6</v>
      </c>
      <c r="G3" s="248" t="s">
        <v>7</v>
      </c>
      <c r="H3" s="249" t="s">
        <v>8</v>
      </c>
    </row>
    <row r="4" spans="2:8" ht="21.75" thickBot="1" x14ac:dyDescent="0.4">
      <c r="B4" s="146" t="s">
        <v>53</v>
      </c>
      <c r="C4" s="163"/>
      <c r="D4" s="233">
        <f>+'ATAR Input'!D9</f>
        <v>5000000</v>
      </c>
      <c r="E4" s="233">
        <f>+'ATAR Input'!E9</f>
        <v>5250000</v>
      </c>
      <c r="F4" s="233">
        <f>+'ATAR Input'!F9</f>
        <v>5512500</v>
      </c>
      <c r="G4" s="233">
        <f>+'ATAR Input'!G9</f>
        <v>5788125</v>
      </c>
      <c r="H4" s="234">
        <f>+'ATAR Input'!H9</f>
        <v>6077531.25</v>
      </c>
    </row>
    <row r="5" spans="2:8" ht="21.75" thickBot="1" x14ac:dyDescent="0.4">
      <c r="B5" s="174" t="s">
        <v>48</v>
      </c>
      <c r="C5" s="140"/>
      <c r="D5" s="21"/>
      <c r="E5" s="3"/>
      <c r="F5" s="3"/>
      <c r="G5" s="3"/>
      <c r="H5" s="148"/>
    </row>
    <row r="6" spans="2:8" ht="21" x14ac:dyDescent="0.35">
      <c r="B6" s="144" t="s">
        <v>0</v>
      </c>
      <c r="C6" s="140"/>
      <c r="D6" s="25">
        <f>+'ATAR Input'!D13</f>
        <v>0.1</v>
      </c>
      <c r="E6" s="25">
        <f>+'ATAR Input'!E13</f>
        <v>0.15</v>
      </c>
      <c r="F6" s="25">
        <f>+'ATAR Input'!F13</f>
        <v>0.25</v>
      </c>
      <c r="G6" s="25">
        <f>+'ATAR Input'!G13</f>
        <v>0.35</v>
      </c>
      <c r="H6" s="149">
        <f>+'ATAR Input'!H13</f>
        <v>0.4</v>
      </c>
    </row>
    <row r="7" spans="2:8" ht="21" x14ac:dyDescent="0.35">
      <c r="B7" s="144" t="s">
        <v>9</v>
      </c>
      <c r="C7" s="140"/>
      <c r="D7" s="25">
        <f>+'ATAR Input'!D14</f>
        <v>0.2</v>
      </c>
      <c r="E7" s="25">
        <f>+'ATAR Input'!E14</f>
        <v>0.15</v>
      </c>
      <c r="F7" s="25">
        <f>+'ATAR Input'!F14</f>
        <v>0.1</v>
      </c>
      <c r="G7" s="25">
        <f>+'ATAR Input'!G14</f>
        <v>0.05</v>
      </c>
      <c r="H7" s="149">
        <f>+'ATAR Input'!H14</f>
        <v>0.05</v>
      </c>
    </row>
    <row r="8" spans="2:8" ht="21" x14ac:dyDescent="0.35">
      <c r="B8" s="144" t="s">
        <v>1</v>
      </c>
      <c r="C8" s="140"/>
      <c r="D8" s="27">
        <f>+'ATAR Input'!D15</f>
        <v>0.1</v>
      </c>
      <c r="E8" s="27">
        <f>+'ATAR Input'!E15</f>
        <v>0.15</v>
      </c>
      <c r="F8" s="27">
        <f>+'ATAR Input'!F15</f>
        <v>0.2</v>
      </c>
      <c r="G8" s="27">
        <f>+'ATAR Input'!G15</f>
        <v>0.25</v>
      </c>
      <c r="H8" s="150">
        <f>+'ATAR Input'!H15</f>
        <v>0.25</v>
      </c>
    </row>
    <row r="9" spans="2:8" ht="21.75" thickBot="1" x14ac:dyDescent="0.4">
      <c r="B9" s="144" t="s">
        <v>2</v>
      </c>
      <c r="C9" s="140"/>
      <c r="D9" s="27">
        <f>+'ATAR Input'!D16</f>
        <v>0.4</v>
      </c>
      <c r="E9" s="27">
        <f>+'ATAR Input'!E16</f>
        <v>0.42</v>
      </c>
      <c r="F9" s="27">
        <f>+'ATAR Input'!F16</f>
        <v>0.44</v>
      </c>
      <c r="G9" s="27">
        <f>+'ATAR Input'!G16</f>
        <v>0.46</v>
      </c>
      <c r="H9" s="150">
        <f>+'ATAR Input'!H16</f>
        <v>0.48</v>
      </c>
    </row>
    <row r="10" spans="2:8" ht="21.75" thickBot="1" x14ac:dyDescent="0.4">
      <c r="B10" s="136" t="s">
        <v>13</v>
      </c>
      <c r="C10" s="168"/>
      <c r="D10" s="169">
        <f>+'ATAR Input'!D25</f>
        <v>86000.000000000015</v>
      </c>
      <c r="E10" s="169">
        <f>+'ATAR Input'!E25</f>
        <v>244398.125</v>
      </c>
      <c r="F10" s="169">
        <f>+'ATAR Input'!F25</f>
        <v>498048.75</v>
      </c>
      <c r="G10" s="169">
        <f>+'ATAR Input'!G25</f>
        <v>682520.1796875</v>
      </c>
      <c r="H10" s="170">
        <f>+'ATAR Input'!H25</f>
        <v>892403.69531250012</v>
      </c>
    </row>
    <row r="11" spans="2:8" ht="21.75" thickBot="1" x14ac:dyDescent="0.4">
      <c r="B11" s="142"/>
      <c r="C11" s="140"/>
      <c r="D11" s="164"/>
      <c r="E11" s="159"/>
      <c r="F11" s="159"/>
      <c r="G11" s="159"/>
      <c r="H11" s="160"/>
    </row>
    <row r="12" spans="2:8" ht="21.75" thickBot="1" x14ac:dyDescent="0.4">
      <c r="B12" s="176" t="s">
        <v>49</v>
      </c>
      <c r="C12" s="140"/>
      <c r="D12" s="165"/>
      <c r="E12" s="3"/>
      <c r="F12" s="3"/>
      <c r="G12" s="3"/>
      <c r="H12" s="148"/>
    </row>
    <row r="13" spans="2:8" ht="21" x14ac:dyDescent="0.35">
      <c r="B13" s="144" t="s">
        <v>18</v>
      </c>
      <c r="C13" s="140"/>
      <c r="D13" s="166">
        <f>+'ATAR Input'!D28</f>
        <v>20</v>
      </c>
      <c r="E13" s="138">
        <f>+'ATAR Input'!E28</f>
        <v>22</v>
      </c>
      <c r="F13" s="138">
        <f>+'ATAR Input'!F28</f>
        <v>24</v>
      </c>
      <c r="G13" s="138">
        <f>+'ATAR Input'!G28</f>
        <v>26</v>
      </c>
      <c r="H13" s="151">
        <f>+'ATAR Input'!H28</f>
        <v>28</v>
      </c>
    </row>
    <row r="14" spans="2:8" ht="21" customHeight="1" x14ac:dyDescent="0.35">
      <c r="B14" s="152" t="s">
        <v>70</v>
      </c>
      <c r="C14" s="140"/>
      <c r="D14" s="166">
        <f>+'ATAR Input'!D29</f>
        <v>5</v>
      </c>
      <c r="E14" s="138">
        <f>+'ATAR Input'!E29</f>
        <v>6</v>
      </c>
      <c r="F14" s="138">
        <f>+'ATAR Input'!F29</f>
        <v>6.2</v>
      </c>
      <c r="G14" s="138">
        <f>+'ATAR Input'!G29</f>
        <v>6.5</v>
      </c>
      <c r="H14" s="151">
        <f>+'ATAR Input'!H29</f>
        <v>7</v>
      </c>
    </row>
    <row r="15" spans="2:8" ht="21" x14ac:dyDescent="0.35">
      <c r="B15" s="144" t="s">
        <v>45</v>
      </c>
      <c r="C15" s="140"/>
      <c r="D15" s="166">
        <f>+'ATAR Input'!D30</f>
        <v>3</v>
      </c>
      <c r="E15" s="138">
        <f>+'ATAR Input'!E30</f>
        <v>3.05</v>
      </c>
      <c r="F15" s="138">
        <f>+'ATAR Input'!F30</f>
        <v>3.1</v>
      </c>
      <c r="G15" s="138">
        <f>+'ATAR Input'!G30</f>
        <v>3.15</v>
      </c>
      <c r="H15" s="151">
        <f>+'ATAR Input'!H30</f>
        <v>3.2</v>
      </c>
    </row>
    <row r="16" spans="2:8" ht="21.75" thickBot="1" x14ac:dyDescent="0.4">
      <c r="B16" s="156" t="s">
        <v>47</v>
      </c>
      <c r="C16" s="143"/>
      <c r="D16" s="167">
        <f>+'ATAR Input'!D31</f>
        <v>2</v>
      </c>
      <c r="E16" s="161">
        <f>+'ATAR Input'!E31</f>
        <v>2.95</v>
      </c>
      <c r="F16" s="161">
        <f>+'ATAR Input'!F31</f>
        <v>3.1</v>
      </c>
      <c r="G16" s="161">
        <f>+'ATAR Input'!G31</f>
        <v>3.35</v>
      </c>
      <c r="H16" s="162">
        <f>+'ATAR Input'!H31</f>
        <v>3.8</v>
      </c>
    </row>
    <row r="17" spans="2:8" ht="21.75" thickBot="1" x14ac:dyDescent="0.4">
      <c r="B17" s="95" t="s">
        <v>51</v>
      </c>
      <c r="C17" s="171"/>
      <c r="D17" s="48">
        <f>+D14*D10</f>
        <v>430000.00000000006</v>
      </c>
      <c r="E17" s="48">
        <f>+E14*E10</f>
        <v>1466388.75</v>
      </c>
      <c r="F17" s="48">
        <f>+F14*F10</f>
        <v>3087902.25</v>
      </c>
      <c r="G17" s="48">
        <f>+G14*G10</f>
        <v>4436381.16796875</v>
      </c>
      <c r="H17" s="49">
        <f>+H14*H10</f>
        <v>6246825.8671875009</v>
      </c>
    </row>
    <row r="18" spans="2:8" ht="21.75" thickBot="1" x14ac:dyDescent="0.4">
      <c r="B18" s="172" t="s">
        <v>75</v>
      </c>
      <c r="C18" s="173"/>
      <c r="D18" s="43">
        <f>+D10*D16</f>
        <v>172000.00000000003</v>
      </c>
      <c r="E18" s="43">
        <f>+E10*E16</f>
        <v>720974.46875</v>
      </c>
      <c r="F18" s="43">
        <f>+F10*F16</f>
        <v>1543951.125</v>
      </c>
      <c r="G18" s="43">
        <f>+G10*G16</f>
        <v>2286442.6019531251</v>
      </c>
      <c r="H18" s="44">
        <f>+H10*H16</f>
        <v>3391134.0421875003</v>
      </c>
    </row>
    <row r="19" spans="2:8" ht="21.75" thickBot="1" x14ac:dyDescent="0.4">
      <c r="B19" s="141"/>
      <c r="C19" s="140"/>
      <c r="D19" s="45"/>
      <c r="E19" s="45"/>
      <c r="F19" s="45"/>
      <c r="G19" s="45"/>
      <c r="H19" s="177"/>
    </row>
    <row r="20" spans="2:8" ht="21.75" thickBot="1" x14ac:dyDescent="0.4">
      <c r="B20" s="176" t="s">
        <v>63</v>
      </c>
      <c r="C20" s="168"/>
      <c r="D20" s="169"/>
      <c r="E20" s="169"/>
      <c r="F20" s="169"/>
      <c r="G20" s="169"/>
      <c r="H20" s="170"/>
    </row>
    <row r="21" spans="2:8" ht="21" x14ac:dyDescent="0.35">
      <c r="B21" s="153" t="s">
        <v>52</v>
      </c>
      <c r="C21" s="139">
        <f>+'ATAR Input'!C37</f>
        <v>1000000</v>
      </c>
      <c r="D21" s="147"/>
      <c r="E21" s="154"/>
      <c r="F21" s="154"/>
      <c r="G21" s="154"/>
      <c r="H21" s="155"/>
    </row>
    <row r="22" spans="2:8" ht="21.75" thickBot="1" x14ac:dyDescent="0.4">
      <c r="B22" s="156" t="s">
        <v>15</v>
      </c>
      <c r="C22" s="143"/>
      <c r="D22" s="157">
        <f>+'ATAR Input'!D38</f>
        <v>250000</v>
      </c>
      <c r="E22" s="157">
        <f>+'ATAR Input'!E38</f>
        <v>150000</v>
      </c>
      <c r="F22" s="157">
        <f>+'ATAR Input'!F38</f>
        <v>150000</v>
      </c>
      <c r="G22" s="157">
        <f>+'ATAR Input'!G38</f>
        <v>200000</v>
      </c>
      <c r="H22" s="158">
        <f>+'ATAR Input'!H38</f>
        <v>250000</v>
      </c>
    </row>
    <row r="23" spans="2:8" ht="21.75" thickBot="1" x14ac:dyDescent="0.4">
      <c r="B23" s="144"/>
      <c r="C23" s="140"/>
      <c r="D23" s="12"/>
      <c r="E23" s="3"/>
      <c r="F23" s="3"/>
      <c r="G23" s="3"/>
      <c r="H23" s="148"/>
    </row>
    <row r="24" spans="2:8" ht="21" x14ac:dyDescent="0.35">
      <c r="B24" s="94" t="s">
        <v>55</v>
      </c>
      <c r="C24" s="50">
        <f>+C18-C21</f>
        <v>-1000000</v>
      </c>
      <c r="D24" s="48">
        <f>+D18-D22</f>
        <v>-77999.999999999971</v>
      </c>
      <c r="E24" s="48">
        <f>+E18-E22</f>
        <v>570974.46875</v>
      </c>
      <c r="F24" s="48">
        <f>+F18-F22</f>
        <v>1393951.125</v>
      </c>
      <c r="G24" s="48">
        <f>+G18-G22</f>
        <v>2086442.6019531251</v>
      </c>
      <c r="H24" s="49">
        <f>+H18-H22</f>
        <v>3141134.0421875003</v>
      </c>
    </row>
    <row r="25" spans="2:8" ht="21.75" thickBot="1" x14ac:dyDescent="0.4">
      <c r="B25" s="178" t="s">
        <v>56</v>
      </c>
      <c r="C25" s="179">
        <f>+C24</f>
        <v>-1000000</v>
      </c>
      <c r="D25" s="180">
        <f>+D24+C25</f>
        <v>-1078000</v>
      </c>
      <c r="E25" s="180">
        <f t="shared" ref="E25:H25" si="0">+E24+D25</f>
        <v>-507025.53125</v>
      </c>
      <c r="F25" s="180">
        <f t="shared" si="0"/>
        <v>886925.59375</v>
      </c>
      <c r="G25" s="180">
        <f t="shared" si="0"/>
        <v>2973368.1957031251</v>
      </c>
      <c r="H25" s="181">
        <f t="shared" si="0"/>
        <v>6114502.2378906254</v>
      </c>
    </row>
    <row r="26" spans="2:8" ht="21.75" thickBot="1" x14ac:dyDescent="0.4">
      <c r="B26" s="144"/>
      <c r="C26" s="145"/>
      <c r="D26" s="3"/>
      <c r="E26" s="3"/>
      <c r="F26" s="3"/>
      <c r="G26" s="3"/>
      <c r="H26" s="148"/>
    </row>
    <row r="27" spans="2:8" ht="21.75" thickBot="1" x14ac:dyDescent="0.4">
      <c r="B27" s="182" t="s">
        <v>62</v>
      </c>
      <c r="C27" s="145"/>
      <c r="D27" s="3"/>
      <c r="E27" s="3"/>
      <c r="F27" s="3"/>
      <c r="G27" s="3"/>
      <c r="H27" s="148"/>
    </row>
    <row r="28" spans="2:8" ht="21" x14ac:dyDescent="0.35">
      <c r="B28" s="94" t="s">
        <v>55</v>
      </c>
      <c r="C28" s="235">
        <f>+'ATAR Input'!C40</f>
        <v>-1000000</v>
      </c>
      <c r="D28" s="32">
        <f>+'ATAR Input'!D50</f>
        <v>-133900</v>
      </c>
      <c r="E28" s="32">
        <f>+'ATAR Input'!E50</f>
        <v>412115.6875</v>
      </c>
      <c r="F28" s="32">
        <f>+'ATAR Input'!F50</f>
        <v>1070219.4375</v>
      </c>
      <c r="G28" s="32">
        <f>+'ATAR Input'!G50</f>
        <v>1642804.4851562502</v>
      </c>
      <c r="H28" s="33">
        <f>+'ATAR Input'!H50</f>
        <v>2561071.6402343754</v>
      </c>
    </row>
    <row r="29" spans="2:8" ht="21.75" thickBot="1" x14ac:dyDescent="0.4">
      <c r="B29" s="178" t="s">
        <v>56</v>
      </c>
      <c r="C29" s="179" t="e">
        <f>+#REF!</f>
        <v>#REF!</v>
      </c>
      <c r="D29" s="236">
        <f>+'ATAR Input'!D51</f>
        <v>-1133900</v>
      </c>
      <c r="E29" s="180">
        <f>+'ATAR Input'!E51</f>
        <v>-721784.3125</v>
      </c>
      <c r="F29" s="180">
        <f>+'ATAR Input'!F51</f>
        <v>348435.125</v>
      </c>
      <c r="G29" s="180">
        <f>+'ATAR Input'!G51</f>
        <v>1991239.6101562502</v>
      </c>
      <c r="H29" s="181">
        <f>+'ATAR Input'!H51</f>
        <v>4552311.2503906256</v>
      </c>
    </row>
    <row r="30" spans="2:8" x14ac:dyDescent="0.25">
      <c r="D30" s="137"/>
      <c r="E30" s="137"/>
      <c r="F30" s="137"/>
      <c r="G30" s="137"/>
      <c r="H30" s="137"/>
    </row>
    <row r="31" spans="2:8" x14ac:dyDescent="0.25">
      <c r="D31" s="137"/>
      <c r="E31" s="137"/>
      <c r="F31" s="137"/>
      <c r="G31" s="137"/>
      <c r="H31" s="137"/>
    </row>
    <row r="32" spans="2:8" x14ac:dyDescent="0.25">
      <c r="D32" s="135"/>
      <c r="E32" s="135"/>
      <c r="F32" s="135"/>
      <c r="G32" s="135"/>
      <c r="H32" s="135"/>
    </row>
    <row r="33" spans="4:8" x14ac:dyDescent="0.25">
      <c r="D33" s="135"/>
      <c r="E33" s="135"/>
      <c r="F33" s="135"/>
      <c r="G33" s="135"/>
      <c r="H33" s="135"/>
    </row>
    <row r="34" spans="4:8" x14ac:dyDescent="0.25">
      <c r="D34" s="135"/>
      <c r="E34" s="135"/>
      <c r="F34" s="135"/>
      <c r="G34" s="135"/>
      <c r="H34" s="135"/>
    </row>
    <row r="35" spans="4:8" x14ac:dyDescent="0.25">
      <c r="D35" s="135"/>
      <c r="E35" s="135"/>
      <c r="F35" s="135"/>
      <c r="G35" s="135"/>
      <c r="H35" s="135"/>
    </row>
    <row r="36" spans="4:8" x14ac:dyDescent="0.25">
      <c r="D36" s="135"/>
      <c r="E36" s="135"/>
      <c r="F36" s="135"/>
      <c r="G36" s="135"/>
      <c r="H36" s="135"/>
    </row>
    <row r="37" spans="4:8" x14ac:dyDescent="0.25">
      <c r="D37" s="135"/>
      <c r="E37" s="135"/>
      <c r="F37" s="135"/>
      <c r="G37" s="135"/>
      <c r="H37" s="135"/>
    </row>
    <row r="38" spans="4:8" x14ac:dyDescent="0.25">
      <c r="D38" s="135"/>
      <c r="E38" s="135"/>
      <c r="F38" s="135"/>
      <c r="G38" s="135"/>
      <c r="H38" s="135"/>
    </row>
    <row r="39" spans="4:8" x14ac:dyDescent="0.25">
      <c r="D39" s="135"/>
      <c r="E39" s="135"/>
      <c r="F39" s="135"/>
      <c r="G39" s="135"/>
      <c r="H39" s="135"/>
    </row>
    <row r="40" spans="4:8" x14ac:dyDescent="0.25">
      <c r="D40" s="135"/>
      <c r="E40" s="135"/>
      <c r="F40" s="135"/>
      <c r="G40" s="135"/>
      <c r="H40" s="135"/>
    </row>
    <row r="41" spans="4:8" x14ac:dyDescent="0.25">
      <c r="D41" s="135"/>
      <c r="E41" s="135"/>
      <c r="F41" s="135"/>
      <c r="G41" s="135"/>
      <c r="H41" s="135"/>
    </row>
  </sheetData>
  <sheetProtection algorithmName="SHA-512" hashValue="5qsmgMKs06aFjZihOqmIuJKa+ZfJTFVqSz37OdwC9xBYLYs+ODQOTh2WRqRgZqpRXSefY6l7ekgBslEJWuE1pQ==" saltValue="jD4yHaH4NhRp72536B96sA==" spinCount="100000" sheet="1" objects="1" scenarios="1"/>
  <mergeCells count="1">
    <mergeCell ref="B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P3:Y73"/>
  <sheetViews>
    <sheetView showGridLines="0" zoomScaleNormal="100" workbookViewId="0"/>
  </sheetViews>
  <sheetFormatPr defaultRowHeight="15" x14ac:dyDescent="0.25"/>
  <cols>
    <col min="1" max="17" width="9.140625" style="240"/>
    <col min="18" max="18" width="10.140625" style="240" bestFit="1" customWidth="1"/>
    <col min="19" max="19" width="10" style="240" bestFit="1" customWidth="1"/>
    <col min="20" max="20" width="9.85546875" style="240" bestFit="1" customWidth="1"/>
    <col min="21" max="23" width="9.42578125" style="240" bestFit="1" customWidth="1"/>
    <col min="24" max="24" width="9.28515625" style="240" bestFit="1" customWidth="1"/>
    <col min="25" max="16384" width="9.140625" style="240"/>
  </cols>
  <sheetData>
    <row r="3" spans="16:25" x14ac:dyDescent="0.25">
      <c r="P3" s="185"/>
      <c r="Q3" s="183" t="s">
        <v>3</v>
      </c>
      <c r="R3" s="183" t="s">
        <v>5</v>
      </c>
      <c r="S3" s="183" t="s">
        <v>6</v>
      </c>
      <c r="T3" s="183" t="s">
        <v>7</v>
      </c>
      <c r="U3" s="183" t="s">
        <v>8</v>
      </c>
      <c r="V3" s="183"/>
      <c r="W3" s="183"/>
      <c r="X3" s="183"/>
      <c r="Y3" s="183"/>
    </row>
    <row r="4" spans="16:25" ht="21" x14ac:dyDescent="0.35">
      <c r="P4" s="103" t="s">
        <v>0</v>
      </c>
      <c r="Q4" s="184">
        <f>+'ATAR Output'!D6</f>
        <v>0.1</v>
      </c>
      <c r="R4" s="184">
        <f>+'ATAR Output'!E6</f>
        <v>0.15</v>
      </c>
      <c r="S4" s="184">
        <f>+'ATAR Output'!F6</f>
        <v>0.25</v>
      </c>
      <c r="T4" s="184">
        <f>+'ATAR Output'!G6</f>
        <v>0.35</v>
      </c>
      <c r="U4" s="184">
        <f>+'ATAR Output'!H6</f>
        <v>0.4</v>
      </c>
      <c r="V4" s="183"/>
      <c r="W4" s="183"/>
      <c r="X4" s="183"/>
      <c r="Y4" s="183"/>
    </row>
    <row r="5" spans="16:25" ht="21" x14ac:dyDescent="0.35">
      <c r="P5" s="103" t="s">
        <v>9</v>
      </c>
      <c r="Q5" s="184">
        <f>+'ATAR Output'!D7</f>
        <v>0.2</v>
      </c>
      <c r="R5" s="184">
        <f>+'ATAR Output'!E7</f>
        <v>0.15</v>
      </c>
      <c r="S5" s="184">
        <f>+'ATAR Output'!F7</f>
        <v>0.1</v>
      </c>
      <c r="T5" s="184">
        <f>+'ATAR Output'!G7</f>
        <v>0.05</v>
      </c>
      <c r="U5" s="184">
        <f>+'ATAR Output'!H7</f>
        <v>0.05</v>
      </c>
      <c r="V5" s="183"/>
      <c r="W5" s="183"/>
      <c r="X5" s="183"/>
      <c r="Y5" s="183"/>
    </row>
    <row r="6" spans="16:25" ht="21" x14ac:dyDescent="0.35">
      <c r="P6" s="103" t="s">
        <v>1</v>
      </c>
      <c r="Q6" s="184">
        <f>+'ATAR Output'!D8</f>
        <v>0.1</v>
      </c>
      <c r="R6" s="184">
        <f>+'ATAR Output'!E8</f>
        <v>0.15</v>
      </c>
      <c r="S6" s="184">
        <f>+'ATAR Output'!F8</f>
        <v>0.2</v>
      </c>
      <c r="T6" s="184">
        <f>+'ATAR Output'!G8</f>
        <v>0.25</v>
      </c>
      <c r="U6" s="184">
        <f>+'ATAR Output'!H8</f>
        <v>0.25</v>
      </c>
      <c r="V6" s="183"/>
      <c r="W6" s="183"/>
      <c r="X6" s="183"/>
      <c r="Y6" s="183"/>
    </row>
    <row r="7" spans="16:25" ht="21" x14ac:dyDescent="0.35">
      <c r="P7" s="103" t="s">
        <v>2</v>
      </c>
      <c r="Q7" s="184">
        <f>+'ATAR Output'!D9</f>
        <v>0.4</v>
      </c>
      <c r="R7" s="184">
        <f>+'ATAR Output'!E9</f>
        <v>0.42</v>
      </c>
      <c r="S7" s="184">
        <f>+'ATAR Output'!F9</f>
        <v>0.44</v>
      </c>
      <c r="T7" s="184">
        <f>+'ATAR Output'!G9</f>
        <v>0.46</v>
      </c>
      <c r="U7" s="184">
        <f>+'ATAR Output'!H9</f>
        <v>0.48</v>
      </c>
      <c r="V7" s="183"/>
      <c r="W7" s="183"/>
      <c r="X7" s="183"/>
      <c r="Y7" s="183"/>
    </row>
    <row r="20" spans="17:24" x14ac:dyDescent="0.25">
      <c r="Q20" s="183"/>
      <c r="R20" s="183"/>
      <c r="S20" s="183" t="str">
        <f>+Q3</f>
        <v>Yr 1</v>
      </c>
      <c r="T20" s="183" t="str">
        <f t="shared" ref="T20:W20" si="0">+R3</f>
        <v>Yr 2</v>
      </c>
      <c r="U20" s="183" t="str">
        <f t="shared" si="0"/>
        <v>Yr 3</v>
      </c>
      <c r="V20" s="183" t="str">
        <f t="shared" si="0"/>
        <v>Yr 4</v>
      </c>
      <c r="W20" s="183" t="str">
        <f t="shared" si="0"/>
        <v>Yr 5</v>
      </c>
      <c r="X20" s="183"/>
    </row>
    <row r="21" spans="17:24" x14ac:dyDescent="0.25">
      <c r="Q21" s="183"/>
      <c r="R21" s="183" t="s">
        <v>64</v>
      </c>
      <c r="S21" s="186">
        <f>+'ATAR Output'!D10</f>
        <v>86000.000000000015</v>
      </c>
      <c r="T21" s="186">
        <f>+'ATAR Output'!E10</f>
        <v>244398.125</v>
      </c>
      <c r="U21" s="186">
        <f>+'ATAR Output'!F10</f>
        <v>498048.75</v>
      </c>
      <c r="V21" s="186">
        <f>+'ATAR Output'!G10</f>
        <v>682520.1796875</v>
      </c>
      <c r="W21" s="186">
        <f>+'ATAR Output'!H10</f>
        <v>892403.69531250012</v>
      </c>
      <c r="X21" s="183"/>
    </row>
    <row r="22" spans="17:24" x14ac:dyDescent="0.25">
      <c r="Q22" s="183"/>
      <c r="R22" s="183" t="s">
        <v>65</v>
      </c>
      <c r="S22" s="186">
        <f>+'ATAR Output'!D17</f>
        <v>430000.00000000006</v>
      </c>
      <c r="T22" s="186">
        <f>+'ATAR Output'!E17</f>
        <v>1466388.75</v>
      </c>
      <c r="U22" s="186">
        <f>+'ATAR Output'!F17</f>
        <v>3087902.25</v>
      </c>
      <c r="V22" s="186">
        <f>+'ATAR Output'!G17</f>
        <v>4436381.16796875</v>
      </c>
      <c r="W22" s="186">
        <f>+'ATAR Output'!H17</f>
        <v>6246825.8671875009</v>
      </c>
      <c r="X22" s="183"/>
    </row>
    <row r="23" spans="17:24" x14ac:dyDescent="0.25">
      <c r="Q23" s="183"/>
      <c r="R23" s="183"/>
      <c r="S23" s="183"/>
      <c r="T23" s="183"/>
      <c r="U23" s="183"/>
      <c r="V23" s="183"/>
      <c r="W23" s="183"/>
      <c r="X23" s="183"/>
    </row>
    <row r="46" spans="16:24" x14ac:dyDescent="0.25">
      <c r="P46" s="183"/>
      <c r="Q46" s="183"/>
      <c r="R46" s="183"/>
      <c r="S46" s="183"/>
      <c r="T46" s="183"/>
      <c r="U46" s="183"/>
      <c r="V46" s="183"/>
      <c r="W46" s="183"/>
      <c r="X46" s="183"/>
    </row>
    <row r="47" spans="16:24" x14ac:dyDescent="0.25">
      <c r="P47" s="183"/>
      <c r="Q47" s="183"/>
      <c r="R47" s="186" t="s">
        <v>4</v>
      </c>
      <c r="S47" s="186" t="str">
        <f t="shared" ref="S47" si="1">+S20</f>
        <v>Yr 1</v>
      </c>
      <c r="T47" s="186" t="str">
        <f>+T20</f>
        <v>Yr 2</v>
      </c>
      <c r="U47" s="186" t="str">
        <f t="shared" ref="U47:X47" si="2">+U20</f>
        <v>Yr 3</v>
      </c>
      <c r="V47" s="186" t="str">
        <f t="shared" si="2"/>
        <v>Yr 4</v>
      </c>
      <c r="W47" s="186" t="str">
        <f t="shared" si="2"/>
        <v>Yr 5</v>
      </c>
      <c r="X47" s="186"/>
    </row>
    <row r="48" spans="16:24" x14ac:dyDescent="0.25">
      <c r="P48" s="183"/>
      <c r="Q48" s="183" t="s">
        <v>67</v>
      </c>
      <c r="R48" s="186">
        <f>+'ATAR Output'!C24</f>
        <v>-1000000</v>
      </c>
      <c r="S48" s="186">
        <f>+'ATAR Output'!D24</f>
        <v>-77999.999999999971</v>
      </c>
      <c r="T48" s="186">
        <f>+'ATAR Output'!E24</f>
        <v>570974.46875</v>
      </c>
      <c r="U48" s="186">
        <f>+'ATAR Output'!F24</f>
        <v>1393951.125</v>
      </c>
      <c r="V48" s="186">
        <f>+'ATAR Output'!G24</f>
        <v>2086442.6019531251</v>
      </c>
      <c r="W48" s="186">
        <f>+'ATAR Output'!H24</f>
        <v>3141134.0421875003</v>
      </c>
      <c r="X48" s="183"/>
    </row>
    <row r="49" spans="16:24" x14ac:dyDescent="0.25">
      <c r="P49" s="183"/>
      <c r="Q49" s="183" t="s">
        <v>66</v>
      </c>
      <c r="R49" s="186">
        <f>+'ATAR Output'!C25</f>
        <v>-1000000</v>
      </c>
      <c r="S49" s="186">
        <f>+'ATAR Output'!D25</f>
        <v>-1078000</v>
      </c>
      <c r="T49" s="186">
        <f>+'ATAR Output'!E25</f>
        <v>-507025.53125</v>
      </c>
      <c r="U49" s="186">
        <f>+'ATAR Output'!F25</f>
        <v>886925.59375</v>
      </c>
      <c r="V49" s="186">
        <f>+'ATAR Output'!G25</f>
        <v>2973368.1957031251</v>
      </c>
      <c r="W49" s="186">
        <f>+'ATAR Output'!H25</f>
        <v>6114502.2378906254</v>
      </c>
      <c r="X49" s="183"/>
    </row>
    <row r="50" spans="16:24" x14ac:dyDescent="0.25">
      <c r="P50" s="183"/>
      <c r="Q50" s="183"/>
      <c r="R50" s="183"/>
      <c r="S50" s="183"/>
      <c r="T50" s="183"/>
      <c r="U50" s="183"/>
      <c r="V50" s="183"/>
      <c r="W50" s="183"/>
      <c r="X50" s="183"/>
    </row>
    <row r="66" spans="17:24" x14ac:dyDescent="0.25">
      <c r="Q66" s="183"/>
      <c r="R66" s="183"/>
      <c r="S66" s="183"/>
      <c r="T66" s="183"/>
      <c r="U66" s="183"/>
      <c r="V66" s="183"/>
      <c r="W66" s="183"/>
      <c r="X66" s="183"/>
    </row>
    <row r="67" spans="17:24" x14ac:dyDescent="0.25">
      <c r="Q67" s="183"/>
      <c r="R67" s="183"/>
      <c r="S67" s="183"/>
      <c r="T67" s="183"/>
      <c r="U67" s="183"/>
      <c r="V67" s="183"/>
      <c r="W67" s="183"/>
      <c r="X67" s="183"/>
    </row>
    <row r="68" spans="17:24" x14ac:dyDescent="0.25">
      <c r="Q68" s="183"/>
      <c r="R68" s="183"/>
      <c r="S68" s="183"/>
      <c r="T68" s="183"/>
      <c r="U68" s="183"/>
      <c r="V68" s="183"/>
      <c r="W68" s="183"/>
      <c r="X68" s="183"/>
    </row>
    <row r="69" spans="17:24" x14ac:dyDescent="0.25">
      <c r="Q69" s="183"/>
      <c r="R69" s="186" t="s">
        <v>4</v>
      </c>
      <c r="S69" s="186" t="s">
        <v>3</v>
      </c>
      <c r="T69" s="186" t="s">
        <v>5</v>
      </c>
      <c r="U69" s="186" t="s">
        <v>6</v>
      </c>
      <c r="V69" s="186" t="s">
        <v>7</v>
      </c>
      <c r="W69" s="186" t="s">
        <v>8</v>
      </c>
      <c r="X69" s="183"/>
    </row>
    <row r="70" spans="17:24" x14ac:dyDescent="0.25">
      <c r="Q70" s="183" t="s">
        <v>67</v>
      </c>
      <c r="R70" s="186">
        <f>+'ATAR Input'!C50</f>
        <v>-1000000</v>
      </c>
      <c r="S70" s="186">
        <f>+'ATAR Input'!D50</f>
        <v>-133900</v>
      </c>
      <c r="T70" s="186">
        <f>+'ATAR Input'!E50</f>
        <v>412115.6875</v>
      </c>
      <c r="U70" s="186">
        <f>+'ATAR Input'!F50</f>
        <v>1070219.4375</v>
      </c>
      <c r="V70" s="186">
        <f>+'ATAR Input'!G50</f>
        <v>1642804.4851562502</v>
      </c>
      <c r="W70" s="186">
        <f>+'ATAR Input'!H50</f>
        <v>2561071.6402343754</v>
      </c>
      <c r="X70" s="183"/>
    </row>
    <row r="71" spans="17:24" x14ac:dyDescent="0.25">
      <c r="Q71" s="183" t="s">
        <v>66</v>
      </c>
      <c r="R71" s="186">
        <f>+'ATAR Input'!C51</f>
        <v>-1000000</v>
      </c>
      <c r="S71" s="186">
        <f>+'ATAR Input'!D51</f>
        <v>-1133900</v>
      </c>
      <c r="T71" s="186">
        <f>+'ATAR Input'!E51</f>
        <v>-721784.3125</v>
      </c>
      <c r="U71" s="186">
        <f>+'ATAR Input'!F51</f>
        <v>348435.125</v>
      </c>
      <c r="V71" s="186">
        <f>+'ATAR Input'!G51</f>
        <v>1991239.6101562502</v>
      </c>
      <c r="W71" s="186">
        <f>+'ATAR Input'!H51</f>
        <v>4552311.2503906256</v>
      </c>
      <c r="X71" s="183"/>
    </row>
    <row r="72" spans="17:24" x14ac:dyDescent="0.25">
      <c r="Q72" s="183"/>
      <c r="R72" s="183"/>
      <c r="S72" s="183"/>
      <c r="T72" s="183"/>
      <c r="U72" s="183"/>
      <c r="V72" s="183"/>
      <c r="W72" s="183"/>
      <c r="X72" s="183"/>
    </row>
    <row r="73" spans="17:24" x14ac:dyDescent="0.25">
      <c r="Q73" s="183"/>
      <c r="R73" s="183"/>
      <c r="S73" s="183"/>
      <c r="T73" s="183"/>
      <c r="U73" s="183"/>
      <c r="V73" s="183"/>
      <c r="W73" s="183"/>
      <c r="X73" s="183"/>
    </row>
  </sheetData>
  <sheetProtection algorithmName="SHA-512" hashValue="IeHYcXloENd2vhckqlyCheUYqa/zyfQfsLP5N40nGcsSK0upgtHDLjmUOULUzf3/jlFYqUT0IokMwr80Yrhpqg==" saltValue="nyrZyVmhjxMGFeg62paBPA==" spinCount="100000" sheet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ATAR Input</vt:lpstr>
      <vt:lpstr>ATAR Output</vt:lpstr>
      <vt:lpstr>Graphs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Frippery</dc:creator>
  <cp:lastModifiedBy>Geoff Fripp</cp:lastModifiedBy>
  <cp:lastPrinted>2013-09-16T04:04:12Z</cp:lastPrinted>
  <dcterms:created xsi:type="dcterms:W3CDTF">2012-09-18T11:45:40Z</dcterms:created>
  <dcterms:modified xsi:type="dcterms:W3CDTF">2021-08-08T01:57:19Z</dcterms:modified>
</cp:coreProperties>
</file>